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 activeTab="1"/>
  </bookViews>
  <sheets>
    <sheet name="表3.1　銅メッキ膜厚の測定データ" sheetId="2" r:id="rId1"/>
    <sheet name="表3.2　3段枝分れ実験によってサンプリングされた膜厚データ等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2" i="1" l="1"/>
  <c r="E62" i="1"/>
  <c r="M62" i="1"/>
  <c r="J63" i="1"/>
  <c r="D63" i="1"/>
  <c r="E63" i="1"/>
  <c r="M63" i="1"/>
  <c r="D64" i="1"/>
  <c r="E64" i="1"/>
  <c r="M64" i="1"/>
  <c r="J65" i="1"/>
  <c r="D65" i="1"/>
  <c r="E65" i="1"/>
  <c r="M65" i="1"/>
  <c r="D66" i="1"/>
  <c r="E66" i="1"/>
  <c r="M66" i="1"/>
  <c r="J67" i="1"/>
  <c r="D67" i="1"/>
  <c r="E67" i="1"/>
  <c r="M67" i="1"/>
  <c r="D68" i="1"/>
  <c r="E68" i="1"/>
  <c r="M68" i="1"/>
  <c r="J69" i="1"/>
  <c r="D69" i="1"/>
  <c r="E69" i="1"/>
  <c r="M69" i="1"/>
  <c r="D70" i="1"/>
  <c r="E70" i="1"/>
  <c r="M70" i="1"/>
  <c r="J71" i="1"/>
  <c r="D71" i="1"/>
  <c r="E71" i="1"/>
  <c r="M71" i="1"/>
  <c r="D72" i="1"/>
  <c r="E72" i="1"/>
  <c r="M72" i="1"/>
  <c r="J73" i="1"/>
  <c r="D73" i="1"/>
  <c r="E73" i="1"/>
  <c r="M73" i="1"/>
  <c r="D74" i="1"/>
  <c r="E74" i="1"/>
  <c r="M74" i="1"/>
  <c r="J75" i="1"/>
  <c r="D75" i="1"/>
  <c r="E75" i="1"/>
  <c r="M75" i="1"/>
  <c r="D76" i="1"/>
  <c r="E76" i="1"/>
  <c r="M76" i="1"/>
  <c r="J77" i="1"/>
  <c r="D77" i="1"/>
  <c r="E77" i="1"/>
  <c r="M77" i="1"/>
  <c r="D78" i="1"/>
  <c r="E78" i="1"/>
  <c r="M78" i="1"/>
  <c r="J79" i="1"/>
  <c r="D79" i="1"/>
  <c r="E79" i="1"/>
  <c r="M79" i="1"/>
  <c r="D80" i="1"/>
  <c r="E80" i="1"/>
  <c r="M80" i="1"/>
  <c r="J81" i="1"/>
  <c r="D81" i="1"/>
  <c r="E81" i="1"/>
  <c r="M81" i="1"/>
  <c r="D82" i="1"/>
  <c r="E82" i="1"/>
  <c r="M82" i="1"/>
  <c r="J83" i="1"/>
  <c r="D83" i="1"/>
  <c r="E83" i="1"/>
  <c r="M83" i="1"/>
  <c r="D84" i="1"/>
  <c r="E84" i="1"/>
  <c r="M84" i="1"/>
  <c r="J85" i="1"/>
  <c r="D85" i="1"/>
  <c r="E85" i="1"/>
  <c r="M85" i="1"/>
  <c r="D86" i="1"/>
  <c r="E86" i="1"/>
  <c r="M86" i="1"/>
  <c r="J87" i="1"/>
  <c r="D87" i="1"/>
  <c r="E87" i="1"/>
  <c r="M87" i="1"/>
  <c r="D88" i="1"/>
  <c r="E88" i="1"/>
  <c r="M88" i="1"/>
  <c r="J89" i="1"/>
  <c r="D89" i="1"/>
  <c r="E89" i="1"/>
  <c r="M89" i="1"/>
  <c r="D90" i="1"/>
  <c r="E90" i="1"/>
  <c r="M90" i="1"/>
  <c r="J91" i="1"/>
  <c r="D91" i="1"/>
  <c r="E91" i="1"/>
  <c r="M91" i="1"/>
  <c r="D92" i="1"/>
  <c r="E92" i="1"/>
  <c r="M92" i="1"/>
  <c r="J93" i="1"/>
  <c r="D93" i="1"/>
  <c r="E93" i="1"/>
  <c r="M93" i="1"/>
  <c r="D94" i="1"/>
  <c r="E94" i="1"/>
  <c r="M94" i="1"/>
  <c r="J95" i="1"/>
  <c r="D95" i="1"/>
  <c r="E95" i="1"/>
  <c r="M95" i="1"/>
  <c r="D96" i="1"/>
  <c r="E96" i="1"/>
  <c r="M96" i="1"/>
  <c r="J97" i="1"/>
  <c r="D97" i="1"/>
  <c r="E97" i="1"/>
  <c r="M97" i="1"/>
  <c r="D98" i="1"/>
  <c r="E98" i="1"/>
  <c r="M98" i="1"/>
  <c r="J99" i="1"/>
  <c r="D99" i="1"/>
  <c r="E99" i="1"/>
  <c r="M99" i="1"/>
  <c r="D100" i="1"/>
  <c r="E100" i="1"/>
  <c r="M100" i="1"/>
  <c r="J101" i="1"/>
  <c r="D101" i="1"/>
  <c r="E101" i="1"/>
  <c r="M101" i="1"/>
  <c r="M107" i="1"/>
  <c r="O107" i="1"/>
  <c r="Q107" i="1"/>
  <c r="R107" i="1"/>
  <c r="S107" i="1"/>
  <c r="P62" i="1"/>
  <c r="P64" i="1"/>
  <c r="P66" i="1"/>
  <c r="P68" i="1"/>
  <c r="P70" i="1"/>
  <c r="P72" i="1"/>
  <c r="P74" i="1"/>
  <c r="P76" i="1"/>
  <c r="P78" i="1"/>
  <c r="P80" i="1"/>
  <c r="P82" i="1"/>
  <c r="P84" i="1"/>
  <c r="P86" i="1"/>
  <c r="P88" i="1"/>
  <c r="P90" i="1"/>
  <c r="P92" i="1"/>
  <c r="P94" i="1"/>
  <c r="P96" i="1"/>
  <c r="P98" i="1"/>
  <c r="P100" i="1"/>
  <c r="M105" i="1"/>
  <c r="O105" i="1"/>
  <c r="N62" i="1"/>
  <c r="N63" i="1"/>
  <c r="O62" i="1"/>
  <c r="N64" i="1"/>
  <c r="N65" i="1"/>
  <c r="O64" i="1"/>
  <c r="N66" i="1"/>
  <c r="N67" i="1"/>
  <c r="O66" i="1"/>
  <c r="N68" i="1"/>
  <c r="N69" i="1"/>
  <c r="O68" i="1"/>
  <c r="N70" i="1"/>
  <c r="N71" i="1"/>
  <c r="O70" i="1"/>
  <c r="N72" i="1"/>
  <c r="N73" i="1"/>
  <c r="O72" i="1"/>
  <c r="N74" i="1"/>
  <c r="N75" i="1"/>
  <c r="O74" i="1"/>
  <c r="N76" i="1"/>
  <c r="N77" i="1"/>
  <c r="O76" i="1"/>
  <c r="N78" i="1"/>
  <c r="N79" i="1"/>
  <c r="O78" i="1"/>
  <c r="N80" i="1"/>
  <c r="N81" i="1"/>
  <c r="O80" i="1"/>
  <c r="N82" i="1"/>
  <c r="N83" i="1"/>
  <c r="O82" i="1"/>
  <c r="N84" i="1"/>
  <c r="N85" i="1"/>
  <c r="O84" i="1"/>
  <c r="N86" i="1"/>
  <c r="N87" i="1"/>
  <c r="O86" i="1"/>
  <c r="N88" i="1"/>
  <c r="N89" i="1"/>
  <c r="O88" i="1"/>
  <c r="N90" i="1"/>
  <c r="N91" i="1"/>
  <c r="O90" i="1"/>
  <c r="N92" i="1"/>
  <c r="N93" i="1"/>
  <c r="O92" i="1"/>
  <c r="N94" i="1"/>
  <c r="N95" i="1"/>
  <c r="O94" i="1"/>
  <c r="N96" i="1"/>
  <c r="N97" i="1"/>
  <c r="O96" i="1"/>
  <c r="N98" i="1"/>
  <c r="N99" i="1"/>
  <c r="O98" i="1"/>
  <c r="N100" i="1"/>
  <c r="N101" i="1"/>
  <c r="O100" i="1"/>
  <c r="M106" i="1"/>
  <c r="O106" i="1"/>
  <c r="Q105" i="1"/>
  <c r="Q110" i="1"/>
  <c r="R110" i="1"/>
  <c r="S110" i="1"/>
  <c r="Q106" i="1"/>
  <c r="Q111" i="1"/>
  <c r="Q108" i="1"/>
  <c r="R108" i="1"/>
  <c r="R105" i="1"/>
  <c r="T82" i="1"/>
  <c r="R82" i="1"/>
  <c r="J105" i="1"/>
  <c r="R84" i="1"/>
  <c r="S82" i="1"/>
  <c r="O140" i="1"/>
  <c r="M140" i="1"/>
  <c r="N140" i="1"/>
  <c r="N139" i="1"/>
  <c r="P140" i="1"/>
  <c r="P139" i="1"/>
  <c r="P116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1" i="1"/>
  <c r="O142" i="1"/>
  <c r="O144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41" i="1"/>
  <c r="P142" i="1"/>
  <c r="P144" i="1"/>
  <c r="AY150" i="1"/>
  <c r="AZ150" i="1"/>
  <c r="BA150" i="1"/>
  <c r="BB150" i="1"/>
  <c r="AY151" i="1"/>
  <c r="AZ151" i="1"/>
  <c r="BA151" i="1"/>
  <c r="BB151" i="1"/>
  <c r="AY152" i="1"/>
  <c r="AZ152" i="1"/>
  <c r="BA152" i="1"/>
  <c r="BB152" i="1"/>
  <c r="AY153" i="1"/>
  <c r="AZ153" i="1"/>
  <c r="BA153" i="1"/>
  <c r="BB153" i="1"/>
  <c r="AY154" i="1"/>
  <c r="AZ154" i="1"/>
  <c r="BA154" i="1"/>
  <c r="BB154" i="1"/>
  <c r="AY155" i="1"/>
  <c r="AZ155" i="1"/>
  <c r="BA155" i="1"/>
  <c r="BB155" i="1"/>
  <c r="AY156" i="1"/>
  <c r="AZ156" i="1"/>
  <c r="BA156" i="1"/>
  <c r="BB156" i="1"/>
  <c r="AY157" i="1"/>
  <c r="AZ157" i="1"/>
  <c r="BA157" i="1"/>
  <c r="BB157" i="1"/>
  <c r="AY158" i="1"/>
  <c r="AZ158" i="1"/>
  <c r="BA158" i="1"/>
  <c r="BB158" i="1"/>
  <c r="AY159" i="1"/>
  <c r="AZ159" i="1"/>
  <c r="BA159" i="1"/>
  <c r="BB159" i="1"/>
  <c r="AY160" i="1"/>
  <c r="AZ160" i="1"/>
  <c r="BA160" i="1"/>
  <c r="BB160" i="1"/>
  <c r="AY161" i="1"/>
  <c r="AZ161" i="1"/>
  <c r="BA161" i="1"/>
  <c r="BB161" i="1"/>
  <c r="AY162" i="1"/>
  <c r="AZ162" i="1"/>
  <c r="BA162" i="1"/>
  <c r="BB162" i="1"/>
  <c r="AY163" i="1"/>
  <c r="AZ163" i="1"/>
  <c r="BA163" i="1"/>
  <c r="BB163" i="1"/>
  <c r="AY164" i="1"/>
  <c r="AZ164" i="1"/>
  <c r="BA164" i="1"/>
  <c r="BB164" i="1"/>
  <c r="AY165" i="1"/>
  <c r="AZ165" i="1"/>
  <c r="BA165" i="1"/>
  <c r="BB165" i="1"/>
  <c r="AY166" i="1"/>
  <c r="AZ166" i="1"/>
  <c r="BA166" i="1"/>
  <c r="BB166" i="1"/>
  <c r="AY167" i="1"/>
  <c r="AZ167" i="1"/>
  <c r="BA167" i="1"/>
  <c r="BB167" i="1"/>
  <c r="AY168" i="1"/>
  <c r="AZ168" i="1"/>
  <c r="BA168" i="1"/>
  <c r="BB168" i="1"/>
  <c r="AY169" i="1"/>
  <c r="AZ169" i="1"/>
  <c r="BA169" i="1"/>
  <c r="BB169" i="1"/>
  <c r="AY170" i="1"/>
  <c r="AZ170" i="1"/>
  <c r="BA170" i="1"/>
  <c r="BB170" i="1"/>
  <c r="AY171" i="1"/>
  <c r="AZ171" i="1"/>
  <c r="BA171" i="1"/>
  <c r="BB171" i="1"/>
  <c r="AY172" i="1"/>
  <c r="AZ172" i="1"/>
  <c r="BA172" i="1"/>
  <c r="BB172" i="1"/>
  <c r="AY173" i="1"/>
  <c r="AZ173" i="1"/>
  <c r="BA173" i="1"/>
  <c r="BB173" i="1"/>
  <c r="BB149" i="1"/>
  <c r="BA149" i="1"/>
  <c r="AZ149" i="1"/>
  <c r="AY149" i="1"/>
  <c r="O146" i="1"/>
  <c r="AX149" i="1"/>
  <c r="O145" i="1"/>
  <c r="AW149" i="1"/>
  <c r="AV149" i="1"/>
  <c r="BE149" i="1"/>
  <c r="BG149" i="1"/>
  <c r="BK149" i="1"/>
  <c r="BJ149" i="1"/>
  <c r="P145" i="1"/>
  <c r="BF149" i="1"/>
  <c r="BI149" i="1"/>
  <c r="BH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BE166" i="1"/>
  <c r="BE167" i="1"/>
  <c r="BE168" i="1"/>
  <c r="BE169" i="1"/>
  <c r="BE170" i="1"/>
  <c r="BE171" i="1"/>
  <c r="BE172" i="1"/>
  <c r="BE173" i="1"/>
  <c r="BG150" i="1"/>
  <c r="BG151" i="1"/>
  <c r="BG152" i="1"/>
  <c r="BG153" i="1"/>
  <c r="BG154" i="1"/>
  <c r="BG155" i="1"/>
  <c r="BG156" i="1"/>
  <c r="BG157" i="1"/>
  <c r="BG158" i="1"/>
  <c r="BG159" i="1"/>
  <c r="BG160" i="1"/>
  <c r="BG161" i="1"/>
  <c r="BG162" i="1"/>
  <c r="BG163" i="1"/>
  <c r="BG164" i="1"/>
  <c r="BG165" i="1"/>
  <c r="BG166" i="1"/>
  <c r="BG167" i="1"/>
  <c r="BG168" i="1"/>
  <c r="BG169" i="1"/>
  <c r="BG170" i="1"/>
  <c r="BG171" i="1"/>
  <c r="BG172" i="1"/>
  <c r="BG173" i="1"/>
  <c r="BK173" i="1"/>
  <c r="BJ173" i="1"/>
  <c r="BF150" i="1"/>
  <c r="BF151" i="1"/>
  <c r="BF152" i="1"/>
  <c r="BF153" i="1"/>
  <c r="BF154" i="1"/>
  <c r="BF155" i="1"/>
  <c r="BF156" i="1"/>
  <c r="BF157" i="1"/>
  <c r="BF158" i="1"/>
  <c r="BF159" i="1"/>
  <c r="BF160" i="1"/>
  <c r="BF161" i="1"/>
  <c r="BF162" i="1"/>
  <c r="BF163" i="1"/>
  <c r="BF164" i="1"/>
  <c r="BF165" i="1"/>
  <c r="BF166" i="1"/>
  <c r="BF167" i="1"/>
  <c r="BF168" i="1"/>
  <c r="BF169" i="1"/>
  <c r="BF170" i="1"/>
  <c r="BF171" i="1"/>
  <c r="BF172" i="1"/>
  <c r="BF173" i="1"/>
  <c r="BI173" i="1"/>
  <c r="BH173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W150" i="1"/>
  <c r="AW151" i="1"/>
  <c r="AW152" i="1"/>
  <c r="AW153" i="1"/>
  <c r="AW154" i="1"/>
  <c r="AW155" i="1"/>
  <c r="AW156" i="1"/>
  <c r="AW157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V150" i="1"/>
  <c r="AV151" i="1"/>
  <c r="AV152" i="1"/>
  <c r="AV153" i="1"/>
  <c r="AV154" i="1"/>
  <c r="AV155" i="1"/>
  <c r="AV156" i="1"/>
  <c r="AV157" i="1"/>
  <c r="AV158" i="1"/>
  <c r="AV159" i="1"/>
  <c r="AV160" i="1"/>
  <c r="AV161" i="1"/>
  <c r="AV162" i="1"/>
  <c r="AV163" i="1"/>
  <c r="AV164" i="1"/>
  <c r="AV165" i="1"/>
  <c r="AV166" i="1"/>
  <c r="AV167" i="1"/>
  <c r="AV168" i="1"/>
  <c r="AV169" i="1"/>
  <c r="AV170" i="1"/>
  <c r="AV171" i="1"/>
  <c r="AV172" i="1"/>
  <c r="AV173" i="1"/>
  <c r="BK172" i="1"/>
  <c r="BJ172" i="1"/>
  <c r="BI172" i="1"/>
  <c r="BH172" i="1"/>
  <c r="BK171" i="1"/>
  <c r="BJ171" i="1"/>
  <c r="BI171" i="1"/>
  <c r="BH171" i="1"/>
  <c r="BK170" i="1"/>
  <c r="BJ170" i="1"/>
  <c r="BI170" i="1"/>
  <c r="BH170" i="1"/>
  <c r="BK169" i="1"/>
  <c r="BJ169" i="1"/>
  <c r="BI169" i="1"/>
  <c r="BH169" i="1"/>
  <c r="BK168" i="1"/>
  <c r="BJ168" i="1"/>
  <c r="BI168" i="1"/>
  <c r="BH168" i="1"/>
  <c r="BK167" i="1"/>
  <c r="BJ167" i="1"/>
  <c r="BI167" i="1"/>
  <c r="BH167" i="1"/>
  <c r="BK166" i="1"/>
  <c r="BJ166" i="1"/>
  <c r="BI166" i="1"/>
  <c r="BH166" i="1"/>
  <c r="BK165" i="1"/>
  <c r="BJ165" i="1"/>
  <c r="BI165" i="1"/>
  <c r="BH165" i="1"/>
  <c r="BK164" i="1"/>
  <c r="BJ164" i="1"/>
  <c r="BI164" i="1"/>
  <c r="BH164" i="1"/>
  <c r="BK163" i="1"/>
  <c r="BJ163" i="1"/>
  <c r="BI163" i="1"/>
  <c r="BH163" i="1"/>
  <c r="BK162" i="1"/>
  <c r="BJ162" i="1"/>
  <c r="BI162" i="1"/>
  <c r="BH162" i="1"/>
  <c r="BK161" i="1"/>
  <c r="BJ161" i="1"/>
  <c r="BI161" i="1"/>
  <c r="BH161" i="1"/>
  <c r="BK160" i="1"/>
  <c r="BJ160" i="1"/>
  <c r="BI160" i="1"/>
  <c r="BH160" i="1"/>
  <c r="BK159" i="1"/>
  <c r="BJ159" i="1"/>
  <c r="BI159" i="1"/>
  <c r="BH159" i="1"/>
  <c r="BK158" i="1"/>
  <c r="BJ158" i="1"/>
  <c r="BI158" i="1"/>
  <c r="BH158" i="1"/>
  <c r="BK157" i="1"/>
  <c r="BJ157" i="1"/>
  <c r="BI157" i="1"/>
  <c r="BH157" i="1"/>
  <c r="BK156" i="1"/>
  <c r="BJ156" i="1"/>
  <c r="BI156" i="1"/>
  <c r="BH156" i="1"/>
  <c r="BK155" i="1"/>
  <c r="BJ155" i="1"/>
  <c r="BI155" i="1"/>
  <c r="BH155" i="1"/>
  <c r="BK154" i="1"/>
  <c r="BJ154" i="1"/>
  <c r="BI154" i="1"/>
  <c r="BH154" i="1"/>
  <c r="BK153" i="1"/>
  <c r="BJ153" i="1"/>
  <c r="BI153" i="1"/>
  <c r="BH153" i="1"/>
  <c r="BK152" i="1"/>
  <c r="BJ152" i="1"/>
  <c r="BI152" i="1"/>
  <c r="BH152" i="1"/>
  <c r="BK151" i="1"/>
  <c r="BJ151" i="1"/>
  <c r="BI151" i="1"/>
  <c r="BH151" i="1"/>
  <c r="BK150" i="1"/>
  <c r="BJ150" i="1"/>
  <c r="BI150" i="1"/>
  <c r="BH150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41" i="1"/>
  <c r="N142" i="1"/>
  <c r="N144" i="1"/>
  <c r="AL149" i="1"/>
  <c r="AN149" i="1"/>
  <c r="AR149" i="1"/>
  <c r="AQ149" i="1"/>
  <c r="N145" i="1"/>
  <c r="AM149" i="1"/>
  <c r="AP149" i="1"/>
  <c r="AO149" i="1"/>
  <c r="AL150" i="1"/>
  <c r="AM150" i="1"/>
  <c r="AN150" i="1"/>
  <c r="AL151" i="1"/>
  <c r="AM151" i="1"/>
  <c r="AN151" i="1"/>
  <c r="AL152" i="1"/>
  <c r="AM152" i="1"/>
  <c r="AN152" i="1"/>
  <c r="AL153" i="1"/>
  <c r="AM153" i="1"/>
  <c r="AN153" i="1"/>
  <c r="AL154" i="1"/>
  <c r="AM154" i="1"/>
  <c r="AN154" i="1"/>
  <c r="AL155" i="1"/>
  <c r="AM155" i="1"/>
  <c r="AN155" i="1"/>
  <c r="AL156" i="1"/>
  <c r="AM156" i="1"/>
  <c r="AN156" i="1"/>
  <c r="AL157" i="1"/>
  <c r="AM157" i="1"/>
  <c r="AN157" i="1"/>
  <c r="AL158" i="1"/>
  <c r="AM158" i="1"/>
  <c r="AN158" i="1"/>
  <c r="AL159" i="1"/>
  <c r="AM159" i="1"/>
  <c r="AN159" i="1"/>
  <c r="AL160" i="1"/>
  <c r="AM160" i="1"/>
  <c r="AN160" i="1"/>
  <c r="AL161" i="1"/>
  <c r="AM161" i="1"/>
  <c r="AN161" i="1"/>
  <c r="AL162" i="1"/>
  <c r="AM162" i="1"/>
  <c r="AN162" i="1"/>
  <c r="AL163" i="1"/>
  <c r="AM163" i="1"/>
  <c r="AN163" i="1"/>
  <c r="AL164" i="1"/>
  <c r="AM164" i="1"/>
  <c r="AN164" i="1"/>
  <c r="AL165" i="1"/>
  <c r="AM165" i="1"/>
  <c r="AN165" i="1"/>
  <c r="AL166" i="1"/>
  <c r="AM166" i="1"/>
  <c r="AN166" i="1"/>
  <c r="AL167" i="1"/>
  <c r="AM167" i="1"/>
  <c r="AN167" i="1"/>
  <c r="AL168" i="1"/>
  <c r="AM168" i="1"/>
  <c r="AN168" i="1"/>
  <c r="AL169" i="1"/>
  <c r="AM169" i="1"/>
  <c r="AN169" i="1"/>
  <c r="AL170" i="1"/>
  <c r="AM170" i="1"/>
  <c r="AN170" i="1"/>
  <c r="AL171" i="1"/>
  <c r="AM171" i="1"/>
  <c r="AN171" i="1"/>
  <c r="AL172" i="1"/>
  <c r="AM172" i="1"/>
  <c r="AN172" i="1"/>
  <c r="AL173" i="1"/>
  <c r="AM173" i="1"/>
  <c r="AN173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1" i="1"/>
  <c r="M142" i="1"/>
  <c r="M144" i="1"/>
  <c r="AF150" i="1"/>
  <c r="AG150" i="1"/>
  <c r="AH150" i="1"/>
  <c r="AI150" i="1"/>
  <c r="AF151" i="1"/>
  <c r="AG151" i="1"/>
  <c r="AH151" i="1"/>
  <c r="AI151" i="1"/>
  <c r="AF152" i="1"/>
  <c r="AG152" i="1"/>
  <c r="AH152" i="1"/>
  <c r="AI152" i="1"/>
  <c r="AF153" i="1"/>
  <c r="AG153" i="1"/>
  <c r="AH153" i="1"/>
  <c r="AI153" i="1"/>
  <c r="AF154" i="1"/>
  <c r="AG154" i="1"/>
  <c r="AH154" i="1"/>
  <c r="AI154" i="1"/>
  <c r="AF155" i="1"/>
  <c r="AG155" i="1"/>
  <c r="AH155" i="1"/>
  <c r="AI155" i="1"/>
  <c r="AF156" i="1"/>
  <c r="AG156" i="1"/>
  <c r="AH156" i="1"/>
  <c r="AI156" i="1"/>
  <c r="AF157" i="1"/>
  <c r="AG157" i="1"/>
  <c r="AH157" i="1"/>
  <c r="AI157" i="1"/>
  <c r="AF158" i="1"/>
  <c r="AG158" i="1"/>
  <c r="AH158" i="1"/>
  <c r="AI158" i="1"/>
  <c r="AF159" i="1"/>
  <c r="AG159" i="1"/>
  <c r="AH159" i="1"/>
  <c r="AI159" i="1"/>
  <c r="AF160" i="1"/>
  <c r="AG160" i="1"/>
  <c r="AH160" i="1"/>
  <c r="AI160" i="1"/>
  <c r="AF161" i="1"/>
  <c r="AG161" i="1"/>
  <c r="AH161" i="1"/>
  <c r="AI161" i="1"/>
  <c r="AF162" i="1"/>
  <c r="AG162" i="1"/>
  <c r="AH162" i="1"/>
  <c r="AI162" i="1"/>
  <c r="AF163" i="1"/>
  <c r="AG163" i="1"/>
  <c r="AH163" i="1"/>
  <c r="AI163" i="1"/>
  <c r="AF164" i="1"/>
  <c r="AG164" i="1"/>
  <c r="AH164" i="1"/>
  <c r="AI164" i="1"/>
  <c r="AF165" i="1"/>
  <c r="AG165" i="1"/>
  <c r="AH165" i="1"/>
  <c r="AI165" i="1"/>
  <c r="AF166" i="1"/>
  <c r="AG166" i="1"/>
  <c r="AH166" i="1"/>
  <c r="AI166" i="1"/>
  <c r="AF167" i="1"/>
  <c r="AG167" i="1"/>
  <c r="AH167" i="1"/>
  <c r="AI167" i="1"/>
  <c r="AF168" i="1"/>
  <c r="AG168" i="1"/>
  <c r="AH168" i="1"/>
  <c r="AI168" i="1"/>
  <c r="AF169" i="1"/>
  <c r="AG169" i="1"/>
  <c r="AH169" i="1"/>
  <c r="AI169" i="1"/>
  <c r="AF170" i="1"/>
  <c r="AG170" i="1"/>
  <c r="AH170" i="1"/>
  <c r="AI170" i="1"/>
  <c r="AF171" i="1"/>
  <c r="AG171" i="1"/>
  <c r="AH171" i="1"/>
  <c r="AI171" i="1"/>
  <c r="AF172" i="1"/>
  <c r="AG172" i="1"/>
  <c r="AH172" i="1"/>
  <c r="AI172" i="1"/>
  <c r="AF173" i="1"/>
  <c r="AG173" i="1"/>
  <c r="AH173" i="1"/>
  <c r="AI173" i="1"/>
  <c r="AI149" i="1"/>
  <c r="AH149" i="1"/>
  <c r="AG149" i="1"/>
  <c r="AF149" i="1"/>
  <c r="M146" i="1"/>
  <c r="AE149" i="1"/>
  <c r="AC149" i="1"/>
  <c r="M145" i="1"/>
  <c r="AD149" i="1"/>
  <c r="AD150" i="1"/>
  <c r="AR173" i="1"/>
  <c r="AQ173" i="1"/>
  <c r="AP173" i="1"/>
  <c r="AO173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R172" i="1"/>
  <c r="AQ172" i="1"/>
  <c r="AP172" i="1"/>
  <c r="AO172" i="1"/>
  <c r="AR171" i="1"/>
  <c r="AQ171" i="1"/>
  <c r="AP171" i="1"/>
  <c r="AO171" i="1"/>
  <c r="AR170" i="1"/>
  <c r="AQ170" i="1"/>
  <c r="AP170" i="1"/>
  <c r="AO170" i="1"/>
  <c r="AR169" i="1"/>
  <c r="AQ169" i="1"/>
  <c r="AP169" i="1"/>
  <c r="AO169" i="1"/>
  <c r="AR168" i="1"/>
  <c r="AQ168" i="1"/>
  <c r="AP168" i="1"/>
  <c r="AO168" i="1"/>
  <c r="AR167" i="1"/>
  <c r="AQ167" i="1"/>
  <c r="AP167" i="1"/>
  <c r="AO167" i="1"/>
  <c r="AR166" i="1"/>
  <c r="AQ166" i="1"/>
  <c r="AP166" i="1"/>
  <c r="AO166" i="1"/>
  <c r="AR165" i="1"/>
  <c r="AQ165" i="1"/>
  <c r="AP165" i="1"/>
  <c r="AO165" i="1"/>
  <c r="AR164" i="1"/>
  <c r="AQ164" i="1"/>
  <c r="AP164" i="1"/>
  <c r="AO164" i="1"/>
  <c r="AR163" i="1"/>
  <c r="AQ163" i="1"/>
  <c r="AP163" i="1"/>
  <c r="AO163" i="1"/>
  <c r="AR162" i="1"/>
  <c r="AQ162" i="1"/>
  <c r="AP162" i="1"/>
  <c r="AO162" i="1"/>
  <c r="AR161" i="1"/>
  <c r="AQ161" i="1"/>
  <c r="AP161" i="1"/>
  <c r="AO161" i="1"/>
  <c r="AR160" i="1"/>
  <c r="AQ160" i="1"/>
  <c r="AP160" i="1"/>
  <c r="AO160" i="1"/>
  <c r="AR159" i="1"/>
  <c r="AQ159" i="1"/>
  <c r="AP159" i="1"/>
  <c r="AO159" i="1"/>
  <c r="AR158" i="1"/>
  <c r="AQ158" i="1"/>
  <c r="AP158" i="1"/>
  <c r="AO158" i="1"/>
  <c r="AR157" i="1"/>
  <c r="AQ157" i="1"/>
  <c r="AP157" i="1"/>
  <c r="AO157" i="1"/>
  <c r="AR156" i="1"/>
  <c r="AQ156" i="1"/>
  <c r="AP156" i="1"/>
  <c r="AO156" i="1"/>
  <c r="AR155" i="1"/>
  <c r="AQ155" i="1"/>
  <c r="AP155" i="1"/>
  <c r="AO155" i="1"/>
  <c r="AR154" i="1"/>
  <c r="AQ154" i="1"/>
  <c r="AP154" i="1"/>
  <c r="AO154" i="1"/>
  <c r="AR153" i="1"/>
  <c r="AQ153" i="1"/>
  <c r="AP153" i="1"/>
  <c r="AO153" i="1"/>
  <c r="AR152" i="1"/>
  <c r="AQ152" i="1"/>
  <c r="AP152" i="1"/>
  <c r="AO152" i="1"/>
  <c r="AR151" i="1"/>
  <c r="AQ151" i="1"/>
  <c r="AP151" i="1"/>
  <c r="AO151" i="1"/>
  <c r="AR150" i="1"/>
  <c r="AQ150" i="1"/>
  <c r="AP150" i="1"/>
  <c r="AO150" i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39" i="1"/>
  <c r="H39" i="1"/>
  <c r="I39" i="1"/>
  <c r="J39" i="1"/>
  <c r="G40" i="1"/>
  <c r="H40" i="1"/>
  <c r="I40" i="1"/>
  <c r="J40" i="1"/>
  <c r="G41" i="1"/>
  <c r="H41" i="1"/>
  <c r="I41" i="1"/>
  <c r="J41" i="1"/>
  <c r="G42" i="1"/>
  <c r="H42" i="1"/>
  <c r="I42" i="1"/>
  <c r="J42" i="1"/>
  <c r="G43" i="1"/>
  <c r="H43" i="1"/>
  <c r="I43" i="1"/>
  <c r="J43" i="1"/>
  <c r="G44" i="1"/>
  <c r="H44" i="1"/>
  <c r="I44" i="1"/>
  <c r="J44" i="1"/>
  <c r="G45" i="1"/>
  <c r="H45" i="1"/>
  <c r="I45" i="1"/>
  <c r="J45" i="1"/>
  <c r="G46" i="1"/>
  <c r="H46" i="1"/>
  <c r="I46" i="1"/>
  <c r="J46" i="1"/>
  <c r="G47" i="1"/>
  <c r="H47" i="1"/>
  <c r="I47" i="1"/>
  <c r="J47" i="1"/>
  <c r="G48" i="1"/>
  <c r="H48" i="1"/>
  <c r="I48" i="1"/>
  <c r="J48" i="1"/>
  <c r="G49" i="1"/>
  <c r="H49" i="1"/>
  <c r="I49" i="1"/>
  <c r="J49" i="1"/>
  <c r="G50" i="1"/>
  <c r="H50" i="1"/>
  <c r="I50" i="1"/>
  <c r="J50" i="1"/>
  <c r="G51" i="1"/>
  <c r="H51" i="1"/>
  <c r="I51" i="1"/>
  <c r="J51" i="1"/>
  <c r="G52" i="1"/>
  <c r="H52" i="1"/>
  <c r="I52" i="1"/>
  <c r="J52" i="1"/>
  <c r="G53" i="1"/>
  <c r="H53" i="1"/>
  <c r="I53" i="1"/>
  <c r="J53" i="1"/>
  <c r="G54" i="1"/>
  <c r="H54" i="1"/>
  <c r="I54" i="1"/>
  <c r="J54" i="1"/>
  <c r="G55" i="1"/>
  <c r="H55" i="1"/>
  <c r="I55" i="1"/>
  <c r="J55" i="1"/>
  <c r="G56" i="1"/>
  <c r="H56" i="1"/>
  <c r="I56" i="1"/>
  <c r="J56" i="1"/>
  <c r="G57" i="1"/>
  <c r="H57" i="1"/>
  <c r="I57" i="1"/>
  <c r="J57" i="1"/>
  <c r="Y52" i="1"/>
  <c r="Z52" i="1"/>
  <c r="Y44" i="1"/>
  <c r="Z44" i="1"/>
  <c r="C33" i="1"/>
  <c r="D33" i="1"/>
  <c r="E33" i="1"/>
  <c r="F33" i="1"/>
  <c r="L34" i="1"/>
  <c r="C34" i="1"/>
  <c r="D34" i="1"/>
  <c r="E34" i="1"/>
  <c r="F34" i="1"/>
  <c r="L35" i="1"/>
  <c r="C35" i="1"/>
  <c r="D35" i="1"/>
  <c r="E35" i="1"/>
  <c r="F35" i="1"/>
  <c r="L36" i="1"/>
  <c r="C36" i="1"/>
  <c r="D36" i="1"/>
  <c r="E36" i="1"/>
  <c r="F36" i="1"/>
  <c r="L37" i="1"/>
  <c r="C37" i="1"/>
  <c r="D37" i="1"/>
  <c r="E37" i="1"/>
  <c r="F37" i="1"/>
  <c r="L38" i="1"/>
  <c r="C38" i="1"/>
  <c r="D38" i="1"/>
  <c r="E38" i="1"/>
  <c r="F38" i="1"/>
  <c r="L39" i="1"/>
  <c r="C39" i="1"/>
  <c r="D39" i="1"/>
  <c r="E39" i="1"/>
  <c r="F39" i="1"/>
  <c r="L40" i="1"/>
  <c r="C40" i="1"/>
  <c r="D40" i="1"/>
  <c r="E40" i="1"/>
  <c r="F40" i="1"/>
  <c r="L41" i="1"/>
  <c r="C41" i="1"/>
  <c r="D41" i="1"/>
  <c r="E41" i="1"/>
  <c r="F41" i="1"/>
  <c r="L42" i="1"/>
  <c r="C42" i="1"/>
  <c r="D42" i="1"/>
  <c r="E42" i="1"/>
  <c r="F42" i="1"/>
  <c r="L43" i="1"/>
  <c r="C43" i="1"/>
  <c r="D43" i="1"/>
  <c r="E43" i="1"/>
  <c r="F43" i="1"/>
  <c r="L44" i="1"/>
  <c r="C44" i="1"/>
  <c r="D44" i="1"/>
  <c r="E44" i="1"/>
  <c r="F44" i="1"/>
  <c r="L45" i="1"/>
  <c r="C45" i="1"/>
  <c r="D45" i="1"/>
  <c r="E45" i="1"/>
  <c r="F45" i="1"/>
  <c r="L46" i="1"/>
  <c r="C46" i="1"/>
  <c r="D46" i="1"/>
  <c r="E46" i="1"/>
  <c r="F46" i="1"/>
  <c r="L47" i="1"/>
  <c r="C47" i="1"/>
  <c r="D47" i="1"/>
  <c r="E47" i="1"/>
  <c r="F47" i="1"/>
  <c r="L48" i="1"/>
  <c r="C48" i="1"/>
  <c r="D48" i="1"/>
  <c r="E48" i="1"/>
  <c r="F48" i="1"/>
  <c r="L49" i="1"/>
  <c r="C49" i="1"/>
  <c r="D49" i="1"/>
  <c r="E49" i="1"/>
  <c r="F49" i="1"/>
  <c r="L50" i="1"/>
  <c r="C50" i="1"/>
  <c r="D50" i="1"/>
  <c r="E50" i="1"/>
  <c r="F50" i="1"/>
  <c r="L51" i="1"/>
  <c r="C51" i="1"/>
  <c r="D51" i="1"/>
  <c r="E51" i="1"/>
  <c r="F51" i="1"/>
  <c r="L52" i="1"/>
  <c r="C52" i="1"/>
  <c r="D52" i="1"/>
  <c r="E52" i="1"/>
  <c r="F52" i="1"/>
  <c r="L53" i="1"/>
  <c r="C53" i="1"/>
  <c r="D53" i="1"/>
  <c r="E53" i="1"/>
  <c r="F53" i="1"/>
  <c r="L54" i="1"/>
  <c r="C54" i="1"/>
  <c r="D54" i="1"/>
  <c r="E54" i="1"/>
  <c r="F54" i="1"/>
  <c r="L55" i="1"/>
  <c r="C55" i="1"/>
  <c r="D55" i="1"/>
  <c r="E55" i="1"/>
  <c r="F55" i="1"/>
  <c r="L56" i="1"/>
  <c r="C56" i="1"/>
  <c r="D56" i="1"/>
  <c r="E56" i="1"/>
  <c r="F56" i="1"/>
  <c r="L57" i="1"/>
  <c r="C57" i="1"/>
  <c r="D57" i="1"/>
  <c r="E57" i="1"/>
  <c r="F57" i="1"/>
  <c r="V52" i="1"/>
  <c r="V44" i="1"/>
  <c r="X34" i="1"/>
  <c r="X35" i="1"/>
  <c r="X36" i="1"/>
  <c r="X38" i="1"/>
  <c r="X37" i="1"/>
  <c r="W34" i="1"/>
  <c r="W35" i="1"/>
  <c r="W36" i="1"/>
  <c r="W38" i="1"/>
  <c r="W37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56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4" i="1"/>
  <c r="S149" i="1"/>
  <c r="L145" i="1"/>
  <c r="T149" i="1"/>
  <c r="V149" i="1"/>
  <c r="S150" i="1"/>
  <c r="S151" i="1"/>
  <c r="S152" i="1"/>
  <c r="L146" i="1"/>
  <c r="U149" i="1"/>
  <c r="U150" i="1"/>
  <c r="U151" i="1"/>
  <c r="U152" i="1"/>
  <c r="X152" i="1"/>
  <c r="T150" i="1"/>
  <c r="V150" i="1"/>
  <c r="W150" i="1"/>
  <c r="X150" i="1"/>
  <c r="Y150" i="1"/>
  <c r="T151" i="1"/>
  <c r="V151" i="1"/>
  <c r="W151" i="1"/>
  <c r="X151" i="1"/>
  <c r="Y151" i="1"/>
  <c r="T152" i="1"/>
  <c r="V152" i="1"/>
  <c r="W152" i="1"/>
  <c r="Y152" i="1"/>
  <c r="S153" i="1"/>
  <c r="T153" i="1"/>
  <c r="V153" i="1"/>
  <c r="W153" i="1"/>
  <c r="U153" i="1"/>
  <c r="X153" i="1"/>
  <c r="Y153" i="1"/>
  <c r="S154" i="1"/>
  <c r="T154" i="1"/>
  <c r="V154" i="1"/>
  <c r="W154" i="1"/>
  <c r="U154" i="1"/>
  <c r="X154" i="1"/>
  <c r="Y154" i="1"/>
  <c r="S155" i="1"/>
  <c r="T155" i="1"/>
  <c r="V155" i="1"/>
  <c r="W155" i="1"/>
  <c r="U155" i="1"/>
  <c r="X155" i="1"/>
  <c r="Y155" i="1"/>
  <c r="S156" i="1"/>
  <c r="T156" i="1"/>
  <c r="V156" i="1"/>
  <c r="W156" i="1"/>
  <c r="U156" i="1"/>
  <c r="X156" i="1"/>
  <c r="Y156" i="1"/>
  <c r="S157" i="1"/>
  <c r="T157" i="1"/>
  <c r="V157" i="1"/>
  <c r="W157" i="1"/>
  <c r="U157" i="1"/>
  <c r="X157" i="1"/>
  <c r="Y157" i="1"/>
  <c r="S158" i="1"/>
  <c r="T158" i="1"/>
  <c r="V158" i="1"/>
  <c r="W158" i="1"/>
  <c r="U158" i="1"/>
  <c r="X158" i="1"/>
  <c r="Y158" i="1"/>
  <c r="S159" i="1"/>
  <c r="T159" i="1"/>
  <c r="V159" i="1"/>
  <c r="W159" i="1"/>
  <c r="U159" i="1"/>
  <c r="X159" i="1"/>
  <c r="Y159" i="1"/>
  <c r="S160" i="1"/>
  <c r="T160" i="1"/>
  <c r="V160" i="1"/>
  <c r="W160" i="1"/>
  <c r="U160" i="1"/>
  <c r="X160" i="1"/>
  <c r="Y160" i="1"/>
  <c r="S161" i="1"/>
  <c r="T161" i="1"/>
  <c r="V161" i="1"/>
  <c r="W161" i="1"/>
  <c r="U161" i="1"/>
  <c r="X161" i="1"/>
  <c r="Y161" i="1"/>
  <c r="S162" i="1"/>
  <c r="T162" i="1"/>
  <c r="V162" i="1"/>
  <c r="W162" i="1"/>
  <c r="U162" i="1"/>
  <c r="X162" i="1"/>
  <c r="Y162" i="1"/>
  <c r="S163" i="1"/>
  <c r="T163" i="1"/>
  <c r="V163" i="1"/>
  <c r="W163" i="1"/>
  <c r="U163" i="1"/>
  <c r="X163" i="1"/>
  <c r="Y163" i="1"/>
  <c r="S164" i="1"/>
  <c r="T164" i="1"/>
  <c r="V164" i="1"/>
  <c r="W164" i="1"/>
  <c r="U164" i="1"/>
  <c r="X164" i="1"/>
  <c r="Y164" i="1"/>
  <c r="S165" i="1"/>
  <c r="T165" i="1"/>
  <c r="V165" i="1"/>
  <c r="W165" i="1"/>
  <c r="U165" i="1"/>
  <c r="X165" i="1"/>
  <c r="Y165" i="1"/>
  <c r="S166" i="1"/>
  <c r="T166" i="1"/>
  <c r="V166" i="1"/>
  <c r="W166" i="1"/>
  <c r="U166" i="1"/>
  <c r="X166" i="1"/>
  <c r="Y166" i="1"/>
  <c r="S167" i="1"/>
  <c r="T167" i="1"/>
  <c r="V167" i="1"/>
  <c r="W167" i="1"/>
  <c r="U167" i="1"/>
  <c r="X167" i="1"/>
  <c r="Y167" i="1"/>
  <c r="S168" i="1"/>
  <c r="T168" i="1"/>
  <c r="V168" i="1"/>
  <c r="W168" i="1"/>
  <c r="U168" i="1"/>
  <c r="X168" i="1"/>
  <c r="Y168" i="1"/>
  <c r="S169" i="1"/>
  <c r="T169" i="1"/>
  <c r="V169" i="1"/>
  <c r="W169" i="1"/>
  <c r="U169" i="1"/>
  <c r="X169" i="1"/>
  <c r="Y169" i="1"/>
  <c r="S170" i="1"/>
  <c r="T170" i="1"/>
  <c r="V170" i="1"/>
  <c r="W170" i="1"/>
  <c r="U170" i="1"/>
  <c r="X170" i="1"/>
  <c r="Y170" i="1"/>
  <c r="S171" i="1"/>
  <c r="T171" i="1"/>
  <c r="V171" i="1"/>
  <c r="W171" i="1"/>
  <c r="U171" i="1"/>
  <c r="X171" i="1"/>
  <c r="Y171" i="1"/>
  <c r="S172" i="1"/>
  <c r="T172" i="1"/>
  <c r="V172" i="1"/>
  <c r="W172" i="1"/>
  <c r="U172" i="1"/>
  <c r="X172" i="1"/>
  <c r="Y172" i="1"/>
  <c r="S173" i="1"/>
  <c r="T173" i="1"/>
  <c r="V173" i="1"/>
  <c r="W173" i="1"/>
  <c r="U173" i="1"/>
  <c r="X173" i="1"/>
  <c r="Y173" i="1"/>
  <c r="X149" i="1"/>
  <c r="Y149" i="1"/>
  <c r="W149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4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M153" i="1"/>
  <c r="N153" i="1"/>
  <c r="O153" i="1"/>
  <c r="P153" i="1"/>
  <c r="M154" i="1"/>
  <c r="N154" i="1"/>
  <c r="O154" i="1"/>
  <c r="P154" i="1"/>
  <c r="M155" i="1"/>
  <c r="N155" i="1"/>
  <c r="O155" i="1"/>
  <c r="P155" i="1"/>
  <c r="M156" i="1"/>
  <c r="N156" i="1"/>
  <c r="O156" i="1"/>
  <c r="P156" i="1"/>
  <c r="M157" i="1"/>
  <c r="N157" i="1"/>
  <c r="O157" i="1"/>
  <c r="P157" i="1"/>
  <c r="M158" i="1"/>
  <c r="N158" i="1"/>
  <c r="O158" i="1"/>
  <c r="P158" i="1"/>
  <c r="M159" i="1"/>
  <c r="N159" i="1"/>
  <c r="O159" i="1"/>
  <c r="P159" i="1"/>
  <c r="M160" i="1"/>
  <c r="N160" i="1"/>
  <c r="O160" i="1"/>
  <c r="P160" i="1"/>
  <c r="M161" i="1"/>
  <c r="N161" i="1"/>
  <c r="O161" i="1"/>
  <c r="P161" i="1"/>
  <c r="M162" i="1"/>
  <c r="N162" i="1"/>
  <c r="O162" i="1"/>
  <c r="P162" i="1"/>
  <c r="M163" i="1"/>
  <c r="N163" i="1"/>
  <c r="O163" i="1"/>
  <c r="P163" i="1"/>
  <c r="M164" i="1"/>
  <c r="N164" i="1"/>
  <c r="O164" i="1"/>
  <c r="P164" i="1"/>
  <c r="M165" i="1"/>
  <c r="N165" i="1"/>
  <c r="O165" i="1"/>
  <c r="P165" i="1"/>
  <c r="M166" i="1"/>
  <c r="N166" i="1"/>
  <c r="O166" i="1"/>
  <c r="P166" i="1"/>
  <c r="M167" i="1"/>
  <c r="N167" i="1"/>
  <c r="O167" i="1"/>
  <c r="P167" i="1"/>
  <c r="M168" i="1"/>
  <c r="N168" i="1"/>
  <c r="O168" i="1"/>
  <c r="P168" i="1"/>
  <c r="M169" i="1"/>
  <c r="N169" i="1"/>
  <c r="O169" i="1"/>
  <c r="P169" i="1"/>
  <c r="M170" i="1"/>
  <c r="N170" i="1"/>
  <c r="O170" i="1"/>
  <c r="P170" i="1"/>
  <c r="M171" i="1"/>
  <c r="N171" i="1"/>
  <c r="O171" i="1"/>
  <c r="P171" i="1"/>
  <c r="M172" i="1"/>
  <c r="N172" i="1"/>
  <c r="O172" i="1"/>
  <c r="P172" i="1"/>
  <c r="M173" i="1"/>
  <c r="N173" i="1"/>
  <c r="O173" i="1"/>
  <c r="P173" i="1"/>
  <c r="P149" i="1"/>
  <c r="O149" i="1"/>
  <c r="N149" i="1"/>
  <c r="M149" i="1"/>
  <c r="J149" i="1"/>
  <c r="J150" i="1"/>
  <c r="J151" i="1"/>
  <c r="K145" i="1"/>
  <c r="K149" i="1"/>
  <c r="K150" i="1"/>
  <c r="K151" i="1"/>
  <c r="K146" i="1"/>
  <c r="L149" i="1"/>
  <c r="L150" i="1"/>
  <c r="L151" i="1"/>
  <c r="J152" i="1"/>
  <c r="K152" i="1"/>
  <c r="L152" i="1"/>
  <c r="J153" i="1"/>
  <c r="K153" i="1"/>
  <c r="L153" i="1"/>
  <c r="J154" i="1"/>
  <c r="K154" i="1"/>
  <c r="L154" i="1"/>
  <c r="J155" i="1"/>
  <c r="K155" i="1"/>
  <c r="L155" i="1"/>
  <c r="J156" i="1"/>
  <c r="K156" i="1"/>
  <c r="L156" i="1"/>
  <c r="J157" i="1"/>
  <c r="K157" i="1"/>
  <c r="L157" i="1"/>
  <c r="J158" i="1"/>
  <c r="K158" i="1"/>
  <c r="L158" i="1"/>
  <c r="J159" i="1"/>
  <c r="K159" i="1"/>
  <c r="L159" i="1"/>
  <c r="J160" i="1"/>
  <c r="K160" i="1"/>
  <c r="L160" i="1"/>
  <c r="J161" i="1"/>
  <c r="K161" i="1"/>
  <c r="L161" i="1"/>
  <c r="J162" i="1"/>
  <c r="K162" i="1"/>
  <c r="L162" i="1"/>
  <c r="J163" i="1"/>
  <c r="K163" i="1"/>
  <c r="L163" i="1"/>
  <c r="J164" i="1"/>
  <c r="K164" i="1"/>
  <c r="L164" i="1"/>
  <c r="J165" i="1"/>
  <c r="K165" i="1"/>
  <c r="L165" i="1"/>
  <c r="J166" i="1"/>
  <c r="K166" i="1"/>
  <c r="L166" i="1"/>
  <c r="J167" i="1"/>
  <c r="K167" i="1"/>
  <c r="L167" i="1"/>
  <c r="J168" i="1"/>
  <c r="K168" i="1"/>
  <c r="L168" i="1"/>
  <c r="J169" i="1"/>
  <c r="K169" i="1"/>
  <c r="L169" i="1"/>
  <c r="J170" i="1"/>
  <c r="K170" i="1"/>
  <c r="L170" i="1"/>
  <c r="J171" i="1"/>
  <c r="K171" i="1"/>
  <c r="L171" i="1"/>
  <c r="J172" i="1"/>
  <c r="K172" i="1"/>
  <c r="L172" i="1"/>
  <c r="J173" i="1"/>
  <c r="K173" i="1"/>
  <c r="L173" i="1"/>
  <c r="T56" i="1"/>
  <c r="S52" i="1"/>
  <c r="T52" i="1"/>
  <c r="S44" i="1"/>
  <c r="T44" i="1"/>
  <c r="T34" i="1"/>
  <c r="T35" i="1"/>
  <c r="T36" i="1"/>
  <c r="T38" i="1"/>
  <c r="T37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O34" i="1"/>
  <c r="O35" i="1"/>
  <c r="Q37" i="1"/>
  <c r="Q34" i="1"/>
  <c r="Q36" i="1"/>
  <c r="N41" i="1"/>
  <c r="N42" i="1"/>
  <c r="O42" i="1"/>
  <c r="P42" i="1"/>
  <c r="N43" i="1"/>
  <c r="O43" i="1"/>
  <c r="P43" i="1"/>
  <c r="N44" i="1"/>
  <c r="O44" i="1"/>
  <c r="P44" i="1"/>
  <c r="N45" i="1"/>
  <c r="O45" i="1"/>
  <c r="P45" i="1"/>
  <c r="N46" i="1"/>
  <c r="O46" i="1"/>
  <c r="P46" i="1"/>
  <c r="N47" i="1"/>
  <c r="O47" i="1"/>
  <c r="P47" i="1"/>
  <c r="N48" i="1"/>
  <c r="O48" i="1"/>
  <c r="P48" i="1"/>
  <c r="N49" i="1"/>
  <c r="O49" i="1"/>
  <c r="P49" i="1"/>
  <c r="N50" i="1"/>
  <c r="O50" i="1"/>
  <c r="P50" i="1"/>
  <c r="N51" i="1"/>
  <c r="O51" i="1"/>
  <c r="P51" i="1"/>
  <c r="N52" i="1"/>
  <c r="O52" i="1"/>
  <c r="P52" i="1"/>
  <c r="N53" i="1"/>
  <c r="O53" i="1"/>
  <c r="P53" i="1"/>
  <c r="N54" i="1"/>
  <c r="O54" i="1"/>
  <c r="P54" i="1"/>
  <c r="N55" i="1"/>
  <c r="O55" i="1"/>
  <c r="P55" i="1"/>
  <c r="O41" i="1"/>
  <c r="P41" i="1"/>
  <c r="O36" i="1"/>
  <c r="O37" i="1"/>
  <c r="R111" i="1"/>
  <c r="S111" i="1"/>
  <c r="R106" i="1"/>
  <c r="N110" i="1"/>
  <c r="N108" i="1"/>
  <c r="M108" i="1"/>
  <c r="M110" i="1"/>
  <c r="J61" i="1"/>
  <c r="H61" i="1"/>
  <c r="I61" i="1"/>
  <c r="K61" i="1"/>
  <c r="K60" i="1"/>
</calcChain>
</file>

<file path=xl/sharedStrings.xml><?xml version="1.0" encoding="utf-8"?>
<sst xmlns="http://schemas.openxmlformats.org/spreadsheetml/2006/main" count="259" uniqueCount="77">
  <si>
    <t>日付</t>
    <rPh sb="0" eb="2">
      <t>ヒヅk</t>
    </rPh>
    <phoneticPr fontId="3"/>
  </si>
  <si>
    <t>曜日</t>
    <rPh sb="0" eb="2">
      <t>ヨウb</t>
    </rPh>
    <phoneticPr fontId="3"/>
  </si>
  <si>
    <t>ライン１</t>
  </si>
  <si>
    <t>ライン１</t>
    <phoneticPr fontId="3"/>
  </si>
  <si>
    <t>ライン２</t>
  </si>
  <si>
    <t>ライン２</t>
    <phoneticPr fontId="3"/>
  </si>
  <si>
    <t>月</t>
    <rPh sb="0" eb="1">
      <t>ゲt</t>
    </rPh>
    <phoneticPr fontId="3"/>
  </si>
  <si>
    <t>火</t>
    <rPh sb="0" eb="1">
      <t>カ</t>
    </rPh>
    <phoneticPr fontId="3"/>
  </si>
  <si>
    <t>水</t>
    <rPh sb="0" eb="1">
      <t>ス</t>
    </rPh>
    <phoneticPr fontId="3"/>
  </si>
  <si>
    <t>木</t>
    <rPh sb="0" eb="1">
      <t>モk</t>
    </rPh>
    <phoneticPr fontId="3"/>
  </si>
  <si>
    <t>金</t>
    <rPh sb="0" eb="1">
      <t>キン</t>
    </rPh>
    <phoneticPr fontId="3"/>
  </si>
  <si>
    <t>mean</t>
    <phoneticPr fontId="3"/>
  </si>
  <si>
    <t>sd</t>
    <phoneticPr fontId="3"/>
  </si>
  <si>
    <t>ライン１トレンド</t>
    <phoneticPr fontId="3"/>
  </si>
  <si>
    <t>日</t>
    <rPh sb="0" eb="1">
      <t>ヒ</t>
    </rPh>
    <phoneticPr fontId="3"/>
  </si>
  <si>
    <t>直</t>
    <rPh sb="0" eb="1">
      <t>チョk</t>
    </rPh>
    <phoneticPr fontId="3"/>
  </si>
  <si>
    <t>午前</t>
    <rPh sb="0" eb="2">
      <t>ゴゼン</t>
    </rPh>
    <phoneticPr fontId="3"/>
  </si>
  <si>
    <t>午後</t>
    <rPh sb="0" eb="2">
      <t>ゴg</t>
    </rPh>
    <phoneticPr fontId="3"/>
  </si>
  <si>
    <t>バッチ番号</t>
    <rPh sb="3" eb="5">
      <t>バン</t>
    </rPh>
    <phoneticPr fontId="3"/>
  </si>
  <si>
    <t>回路基板</t>
    <rPh sb="0" eb="4">
      <t>カ</t>
    </rPh>
    <phoneticPr fontId="3"/>
  </si>
  <si>
    <t>バッチ</t>
    <phoneticPr fontId="3"/>
  </si>
  <si>
    <t>製品</t>
    <rPh sb="0" eb="2">
      <t>セイヒン</t>
    </rPh>
    <phoneticPr fontId="3"/>
  </si>
  <si>
    <t>sd</t>
    <phoneticPr fontId="3"/>
  </si>
  <si>
    <t>var</t>
    <phoneticPr fontId="3"/>
  </si>
  <si>
    <t>成分</t>
    <rPh sb="0" eb="2">
      <t>セイブン</t>
    </rPh>
    <phoneticPr fontId="3"/>
  </si>
  <si>
    <t>基板</t>
    <rPh sb="0" eb="2">
      <t>キバン</t>
    </rPh>
    <phoneticPr fontId="3"/>
  </si>
  <si>
    <t>バッチ</t>
    <phoneticPr fontId="3"/>
  </si>
  <si>
    <t>要因</t>
    <rPh sb="0" eb="2">
      <t>ヨウ</t>
    </rPh>
    <phoneticPr fontId="3"/>
  </si>
  <si>
    <t>SS</t>
    <phoneticPr fontId="3"/>
  </si>
  <si>
    <t>バッチ</t>
    <phoneticPr fontId="3"/>
  </si>
  <si>
    <t>合計</t>
    <rPh sb="0" eb="2">
      <t>ゴウケ</t>
    </rPh>
    <phoneticPr fontId="3"/>
  </si>
  <si>
    <t>phi</t>
    <phoneticPr fontId="3"/>
  </si>
  <si>
    <t>MS</t>
    <phoneticPr fontId="3"/>
  </si>
  <si>
    <t>V.C.</t>
    <phoneticPr fontId="3"/>
  </si>
  <si>
    <t>解析</t>
    <rPh sb="0" eb="2">
      <t>カ</t>
    </rPh>
    <phoneticPr fontId="3"/>
  </si>
  <si>
    <t>データ生成</t>
    <rPh sb="3" eb="5">
      <t>セ</t>
    </rPh>
    <phoneticPr fontId="3"/>
  </si>
  <si>
    <t>全平均</t>
    <rPh sb="0" eb="3">
      <t>ゼン</t>
    </rPh>
    <phoneticPr fontId="3"/>
  </si>
  <si>
    <t>Cp</t>
    <phoneticPr fontId="3"/>
  </si>
  <si>
    <t>max</t>
    <phoneticPr fontId="3"/>
  </si>
  <si>
    <t>min</t>
    <phoneticPr fontId="3"/>
  </si>
  <si>
    <t>h</t>
    <phoneticPr fontId="3"/>
  </si>
  <si>
    <t>c</t>
    <phoneticPr fontId="3"/>
  </si>
  <si>
    <t>lower</t>
    <phoneticPr fontId="3"/>
  </si>
  <si>
    <t>upper</t>
    <phoneticPr fontId="3"/>
  </si>
  <si>
    <t>center</t>
    <phoneticPr fontId="3"/>
  </si>
  <si>
    <t>平均</t>
    <rPh sb="0" eb="2">
      <t>ヘイk</t>
    </rPh>
    <phoneticPr fontId="3"/>
  </si>
  <si>
    <t>分散</t>
    <rPh sb="0" eb="2">
      <t>ブンサン</t>
    </rPh>
    <phoneticPr fontId="3"/>
  </si>
  <si>
    <t>標準偏差</t>
    <rPh sb="0" eb="4">
      <t>ヒョウジュン</t>
    </rPh>
    <phoneticPr fontId="3"/>
  </si>
  <si>
    <t>Cp</t>
    <phoneticPr fontId="3"/>
  </si>
  <si>
    <t>Cpk</t>
    <phoneticPr fontId="3"/>
  </si>
  <si>
    <t>平均値</t>
    <rPh sb="0" eb="3">
      <t>ヘイk</t>
    </rPh>
    <phoneticPr fontId="3"/>
  </si>
  <si>
    <t>範囲</t>
    <rPh sb="0" eb="2">
      <t>ハン</t>
    </rPh>
    <phoneticPr fontId="3"/>
  </si>
  <si>
    <t>CL</t>
    <phoneticPr fontId="3"/>
  </si>
  <si>
    <t>UCL</t>
    <phoneticPr fontId="3"/>
  </si>
  <si>
    <t>LCL</t>
    <phoneticPr fontId="3"/>
  </si>
  <si>
    <t>合計</t>
    <rPh sb="0" eb="2">
      <t>ゴウケ</t>
    </rPh>
    <phoneticPr fontId="3"/>
  </si>
  <si>
    <t>平均</t>
    <rPh sb="0" eb="2">
      <t>ヘイキン</t>
    </rPh>
    <phoneticPr fontId="3"/>
  </si>
  <si>
    <t>Xbar</t>
    <phoneticPr fontId="3"/>
  </si>
  <si>
    <t>CL</t>
    <phoneticPr fontId="3"/>
  </si>
  <si>
    <t>R</t>
    <phoneticPr fontId="3"/>
  </si>
  <si>
    <t>+ 2 sigma</t>
    <phoneticPr fontId="3"/>
  </si>
  <si>
    <t>+ 1 sigma</t>
    <phoneticPr fontId="3"/>
  </si>
  <si>
    <t xml:space="preserve"> - 1 sigma</t>
    <phoneticPr fontId="3"/>
  </si>
  <si>
    <t xml:space="preserve"> -2 sigma</t>
    <phoneticPr fontId="3"/>
  </si>
  <si>
    <t>全体のヒストグラム</t>
    <rPh sb="0" eb="3">
      <t>ゼン</t>
    </rPh>
    <phoneticPr fontId="3"/>
  </si>
  <si>
    <t>不適合数</t>
    <rPh sb="0" eb="4">
      <t>フテキゴ</t>
    </rPh>
    <phoneticPr fontId="3"/>
  </si>
  <si>
    <t>不適合率</t>
    <rPh sb="0" eb="4">
      <t>フテキゴ</t>
    </rPh>
    <phoneticPr fontId="3"/>
  </si>
  <si>
    <t>層別ヒストグラム</t>
    <rPh sb="0" eb="2">
      <t>ソウベツ</t>
    </rPh>
    <phoneticPr fontId="3"/>
  </si>
  <si>
    <t>度数</t>
    <rPh sb="0" eb="2">
      <t>ドス</t>
    </rPh>
    <phoneticPr fontId="3"/>
  </si>
  <si>
    <t>ライン１</t>
    <phoneticPr fontId="3"/>
  </si>
  <si>
    <t>ライン２</t>
    <phoneticPr fontId="3"/>
  </si>
  <si>
    <t>管理図（全体）</t>
    <rPh sb="0" eb="3">
      <t>カン</t>
    </rPh>
    <rPh sb="4" eb="6">
      <t>ゼンタ</t>
    </rPh>
    <phoneticPr fontId="3"/>
  </si>
  <si>
    <t>管理図</t>
    <rPh sb="0" eb="3">
      <t>カン</t>
    </rPh>
    <phoneticPr fontId="3"/>
  </si>
  <si>
    <t>全体</t>
    <rPh sb="0" eb="2">
      <t>ゼンタ</t>
    </rPh>
    <phoneticPr fontId="3"/>
  </si>
  <si>
    <t>ライン２</t>
    <phoneticPr fontId="3"/>
  </si>
  <si>
    <t>ライン２</t>
    <phoneticPr fontId="3"/>
  </si>
  <si>
    <t>平均</t>
    <rPh sb="0" eb="2">
      <t>ヘイk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</si>
</sst>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"/>
    <numFmt numFmtId="177" formatCode="0.00000"/>
    <numFmt numFmtId="178" formatCode="0.0000"/>
    <numFmt numFmtId="179" formatCode="0.0_ "/>
    <numFmt numFmtId="180" formatCode="0.00_ "/>
    <numFmt numFmtId="181" formatCode="0.000"/>
    <numFmt numFmtId="182" formatCode="m/d;@"/>
  </numFmts>
  <fonts count="6" x14ac:knownFonts="1">
    <font>
      <sz val="12"/>
      <color theme="1"/>
      <name val="ＭＳ Ｐゴシック"/>
      <family val="2"/>
      <charset val="128"/>
      <scheme val="minor"/>
    </font>
    <font>
      <sz val="12"/>
      <color rgb="FF9C0006"/>
      <name val="ＭＳ Ｐゴシック"/>
      <family val="2"/>
      <charset val="128"/>
      <scheme val="minor"/>
    </font>
    <font>
      <sz val="12"/>
      <color rgb="FF9C65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89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0" fontId="0" fillId="0" borderId="1" xfId="0" applyBorder="1" applyAlignment="1">
      <alignment horizontal="center"/>
    </xf>
    <xf numFmtId="56" fontId="0" fillId="0" borderId="1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0" fontId="2" fillId="3" borderId="0" xfId="2"/>
    <xf numFmtId="0" fontId="1" fillId="2" borderId="0" xfId="1"/>
    <xf numFmtId="180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81" fontId="0" fillId="0" borderId="0" xfId="0" applyNumberFormat="1"/>
    <xf numFmtId="181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Fill="1" applyBorder="1" applyAlignment="1">
      <alignment horizontal="center" vertical="center"/>
    </xf>
    <xf numFmtId="182" fontId="0" fillId="0" borderId="1" xfId="0" applyNumberFormat="1" applyBorder="1" applyAlignment="1">
      <alignment horizontal="center"/>
    </xf>
    <xf numFmtId="0" fontId="0" fillId="0" borderId="0" xfId="0" quotePrefix="1"/>
    <xf numFmtId="181" fontId="0" fillId="0" borderId="1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3" borderId="0" xfId="2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89">
    <cellStyle name="どちらでもない" xfId="2" builtinId="28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3" builtinId="8" hidden="1"/>
    <cellStyle name="ハイパーリンク" xfId="305" builtinId="8" hidden="1"/>
    <cellStyle name="ハイパーリンク" xfId="307" builtinId="8" hidden="1"/>
    <cellStyle name="ハイパーリンク" xfId="309" builtinId="8" hidden="1"/>
    <cellStyle name="ハイパーリンク" xfId="311" builtinId="8" hidden="1"/>
    <cellStyle name="ハイパーリンク" xfId="313" builtinId="8" hidden="1"/>
    <cellStyle name="ハイパーリンク" xfId="315" builtinId="8" hidden="1"/>
    <cellStyle name="ハイパーリンク" xfId="317" builtinId="8" hidden="1"/>
    <cellStyle name="ハイパーリンク" xfId="319" builtinId="8" hidden="1"/>
    <cellStyle name="ハイパーリンク" xfId="321" builtinId="8" hidden="1"/>
    <cellStyle name="ハイパーリンク" xfId="323" builtinId="8" hidden="1"/>
    <cellStyle name="ハイパーリンク" xfId="325" builtinId="8" hidden="1"/>
    <cellStyle name="ハイパーリンク" xfId="327" builtinId="8" hidden="1"/>
    <cellStyle name="ハイパーリンク" xfId="329" builtinId="8" hidden="1"/>
    <cellStyle name="ハイパーリンク" xfId="331" builtinId="8" hidden="1"/>
    <cellStyle name="ハイパーリンク" xfId="333" builtinId="8" hidden="1"/>
    <cellStyle name="ハイパーリンク" xfId="335" builtinId="8" hidden="1"/>
    <cellStyle name="ハイパーリンク" xfId="337" builtinId="8" hidden="1"/>
    <cellStyle name="ハイパーリンク" xfId="339" builtinId="8" hidden="1"/>
    <cellStyle name="ハイパーリンク" xfId="341" builtinId="8" hidden="1"/>
    <cellStyle name="ハイパーリンク" xfId="343" builtinId="8" hidden="1"/>
    <cellStyle name="ハイパーリンク" xfId="345" builtinId="8" hidden="1"/>
    <cellStyle name="ハイパーリンク" xfId="347" builtinId="8" hidden="1"/>
    <cellStyle name="ハイパーリンク" xfId="349" builtinId="8" hidden="1"/>
    <cellStyle name="ハイパーリンク" xfId="351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悪い" xfId="1" builtinId="27"/>
    <cellStyle name="標準" xfId="0" builtinId="0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4" builtinId="9" hidden="1"/>
    <cellStyle name="表示済みのハイパーリンク" xfId="306" builtinId="9" hidden="1"/>
    <cellStyle name="表示済みのハイパーリンク" xfId="308" builtinId="9" hidden="1"/>
    <cellStyle name="表示済みのハイパーリンク" xfId="310" builtinId="9" hidden="1"/>
    <cellStyle name="表示済みのハイパーリンク" xfId="312" builtinId="9" hidden="1"/>
    <cellStyle name="表示済みのハイパーリンク" xfId="314" builtinId="9" hidden="1"/>
    <cellStyle name="表示済みのハイパーリンク" xfId="316" builtinId="9" hidden="1"/>
    <cellStyle name="表示済みのハイパーリンク" xfId="318" builtinId="9" hidden="1"/>
    <cellStyle name="表示済みのハイパーリンク" xfId="320" builtinId="9" hidden="1"/>
    <cellStyle name="表示済みのハイパーリンク" xfId="322" builtinId="9" hidden="1"/>
    <cellStyle name="表示済みのハイパーリンク" xfId="324" builtinId="9" hidden="1"/>
    <cellStyle name="表示済みのハイパーリンク" xfId="326" builtinId="9" hidden="1"/>
    <cellStyle name="表示済みのハイパーリンク" xfId="328" builtinId="9" hidden="1"/>
    <cellStyle name="表示済みのハイパーリンク" xfId="330" builtinId="9" hidden="1"/>
    <cellStyle name="表示済みのハイパーリンク" xfId="332" builtinId="9" hidden="1"/>
    <cellStyle name="表示済みのハイパーリンク" xfId="334" builtinId="9" hidden="1"/>
    <cellStyle name="表示済みのハイパーリンク" xfId="336" builtinId="9" hidden="1"/>
    <cellStyle name="表示済みのハイパーリンク" xfId="338" builtinId="9" hidden="1"/>
    <cellStyle name="表示済みのハイパーリンク" xfId="340" builtinId="9" hidden="1"/>
    <cellStyle name="表示済みのハイパーリンク" xfId="342" builtinId="9" hidden="1"/>
    <cellStyle name="表示済みのハイパーリンク" xfId="344" builtinId="9" hidden="1"/>
    <cellStyle name="表示済みのハイパーリンク" xfId="346" builtinId="9" hidden="1"/>
    <cellStyle name="表示済みのハイパーリンク" xfId="348" builtinId="9" hidden="1"/>
    <cellStyle name="表示済みのハイパーリンク" xfId="350" builtinId="9" hidden="1"/>
    <cellStyle name="表示済みのハイパーリンク" xfId="352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</c:spPr>
          <c:invertIfNegative val="0"/>
          <c:cat>
            <c:numRef>
              <c:f>'表3.2　3段枝分れ実験によってサンプリングされた膜厚データ等'!$N$41:$N$55</c:f>
              <c:numCache>
                <c:formatCode>0.00_ </c:formatCode>
                <c:ptCount val="15"/>
                <c:pt idx="0">
                  <c:v>7.55</c:v>
                </c:pt>
                <c:pt idx="1">
                  <c:v>8.5500000000000007</c:v>
                </c:pt>
                <c:pt idx="2">
                  <c:v>9.5500000000000007</c:v>
                </c:pt>
                <c:pt idx="3">
                  <c:v>10.55</c:v>
                </c:pt>
                <c:pt idx="4">
                  <c:v>11.55</c:v>
                </c:pt>
                <c:pt idx="5">
                  <c:v>12.55</c:v>
                </c:pt>
                <c:pt idx="6">
                  <c:v>13.55</c:v>
                </c:pt>
                <c:pt idx="7">
                  <c:v>14.55</c:v>
                </c:pt>
                <c:pt idx="8">
                  <c:v>15.55</c:v>
                </c:pt>
                <c:pt idx="9">
                  <c:v>16.55</c:v>
                </c:pt>
                <c:pt idx="10">
                  <c:v>17.55</c:v>
                </c:pt>
                <c:pt idx="11">
                  <c:v>18.55</c:v>
                </c:pt>
                <c:pt idx="12">
                  <c:v>19.55</c:v>
                </c:pt>
                <c:pt idx="13">
                  <c:v>20.55</c:v>
                </c:pt>
                <c:pt idx="14">
                  <c:v>21.55</c:v>
                </c:pt>
              </c:numCache>
            </c:numRef>
          </c:cat>
          <c:val>
            <c:numRef>
              <c:f>'表3.2　3段枝分れ実験によってサンプリングされた膜厚データ等'!$Q$41:$Q$55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14</c:v>
                </c:pt>
                <c:pt idx="5">
                  <c:v>23</c:v>
                </c:pt>
                <c:pt idx="6">
                  <c:v>32</c:v>
                </c:pt>
                <c:pt idx="7">
                  <c:v>37</c:v>
                </c:pt>
                <c:pt idx="8">
                  <c:v>29</c:v>
                </c:pt>
                <c:pt idx="9">
                  <c:v>27</c:v>
                </c:pt>
                <c:pt idx="10">
                  <c:v>15</c:v>
                </c:pt>
                <c:pt idx="11">
                  <c:v>10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9082880"/>
        <c:axId val="129084416"/>
      </c:barChart>
      <c:catAx>
        <c:axId val="129082880"/>
        <c:scaling>
          <c:orientation val="minMax"/>
        </c:scaling>
        <c:delete val="0"/>
        <c:axPos val="b"/>
        <c:numFmt formatCode="0.00_ " sourceLinked="1"/>
        <c:majorTickMark val="out"/>
        <c:minorTickMark val="none"/>
        <c:tickLblPos val="nextTo"/>
        <c:crossAx val="129084416"/>
        <c:crosses val="autoZero"/>
        <c:auto val="1"/>
        <c:lblAlgn val="ctr"/>
        <c:lblOffset val="100"/>
        <c:noMultiLvlLbl val="0"/>
      </c:catAx>
      <c:valAx>
        <c:axId val="129084416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度数</a:t>
                </a:r>
              </a:p>
            </c:rich>
          </c:tx>
          <c:layout>
            <c:manualLayout>
              <c:xMode val="edge"/>
              <c:yMode val="edge"/>
              <c:x val="1.7578125E-2"/>
              <c:y val="0.435860961458765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9082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288730887940399E-2"/>
          <c:y val="3.29113924050633E-2"/>
          <c:w val="0.90394754515979603"/>
          <c:h val="0.77089800647828699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3段枝分れ実験によってサンプリングされた膜厚データ等'!$AU$149:$AU$173</c:f>
              <c:numCache>
                <c:formatCode>0.00</c:formatCode>
                <c:ptCount val="25"/>
                <c:pt idx="0">
                  <c:v>17.324999999999999</c:v>
                </c:pt>
                <c:pt idx="1">
                  <c:v>14.725000000000001</c:v>
                </c:pt>
                <c:pt idx="2">
                  <c:v>14.825000000000001</c:v>
                </c:pt>
                <c:pt idx="3">
                  <c:v>18.025000000000002</c:v>
                </c:pt>
                <c:pt idx="4">
                  <c:v>14.824999999999999</c:v>
                </c:pt>
                <c:pt idx="5">
                  <c:v>14.15</c:v>
                </c:pt>
                <c:pt idx="6">
                  <c:v>14.925000000000001</c:v>
                </c:pt>
                <c:pt idx="7">
                  <c:v>13.424999999999999</c:v>
                </c:pt>
                <c:pt idx="8">
                  <c:v>14.9</c:v>
                </c:pt>
                <c:pt idx="9">
                  <c:v>16.275000000000002</c:v>
                </c:pt>
                <c:pt idx="10">
                  <c:v>16.25</c:v>
                </c:pt>
                <c:pt idx="11">
                  <c:v>15.85</c:v>
                </c:pt>
                <c:pt idx="12">
                  <c:v>15.725000000000001</c:v>
                </c:pt>
                <c:pt idx="13">
                  <c:v>15.375</c:v>
                </c:pt>
                <c:pt idx="14">
                  <c:v>17.074999999999999</c:v>
                </c:pt>
                <c:pt idx="15">
                  <c:v>12.875</c:v>
                </c:pt>
                <c:pt idx="16">
                  <c:v>16.7</c:v>
                </c:pt>
                <c:pt idx="17">
                  <c:v>16.524999999999999</c:v>
                </c:pt>
                <c:pt idx="18">
                  <c:v>14.574999999999999</c:v>
                </c:pt>
                <c:pt idx="19">
                  <c:v>17.824999999999999</c:v>
                </c:pt>
                <c:pt idx="20">
                  <c:v>15.225</c:v>
                </c:pt>
                <c:pt idx="21">
                  <c:v>15.850000000000001</c:v>
                </c:pt>
                <c:pt idx="22">
                  <c:v>12.25</c:v>
                </c:pt>
                <c:pt idx="23">
                  <c:v>14.324999999999999</c:v>
                </c:pt>
                <c:pt idx="24">
                  <c:v>15.725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3段枝分れ実験によってサンプリングされた膜厚データ等'!$AV$149:$AV$173</c:f>
              <c:numCache>
                <c:formatCode>0.000</c:formatCode>
                <c:ptCount val="25"/>
                <c:pt idx="0">
                  <c:v>15.422000000000001</c:v>
                </c:pt>
                <c:pt idx="1">
                  <c:v>15.422000000000001</c:v>
                </c:pt>
                <c:pt idx="2">
                  <c:v>15.422000000000001</c:v>
                </c:pt>
                <c:pt idx="3">
                  <c:v>15.422000000000001</c:v>
                </c:pt>
                <c:pt idx="4">
                  <c:v>15.422000000000001</c:v>
                </c:pt>
                <c:pt idx="5">
                  <c:v>15.422000000000001</c:v>
                </c:pt>
                <c:pt idx="6">
                  <c:v>15.422000000000001</c:v>
                </c:pt>
                <c:pt idx="7">
                  <c:v>15.422000000000001</c:v>
                </c:pt>
                <c:pt idx="8">
                  <c:v>15.422000000000001</c:v>
                </c:pt>
                <c:pt idx="9">
                  <c:v>15.422000000000001</c:v>
                </c:pt>
                <c:pt idx="10">
                  <c:v>15.422000000000001</c:v>
                </c:pt>
                <c:pt idx="11">
                  <c:v>15.422000000000001</c:v>
                </c:pt>
                <c:pt idx="12">
                  <c:v>15.422000000000001</c:v>
                </c:pt>
                <c:pt idx="13">
                  <c:v>15.422000000000001</c:v>
                </c:pt>
                <c:pt idx="14">
                  <c:v>15.422000000000001</c:v>
                </c:pt>
                <c:pt idx="15">
                  <c:v>15.422000000000001</c:v>
                </c:pt>
                <c:pt idx="16">
                  <c:v>15.422000000000001</c:v>
                </c:pt>
                <c:pt idx="17">
                  <c:v>15.422000000000001</c:v>
                </c:pt>
                <c:pt idx="18">
                  <c:v>15.422000000000001</c:v>
                </c:pt>
                <c:pt idx="19">
                  <c:v>15.422000000000001</c:v>
                </c:pt>
                <c:pt idx="20">
                  <c:v>15.422000000000001</c:v>
                </c:pt>
                <c:pt idx="21">
                  <c:v>15.422000000000001</c:v>
                </c:pt>
                <c:pt idx="22">
                  <c:v>15.422000000000001</c:v>
                </c:pt>
                <c:pt idx="23">
                  <c:v>15.422000000000001</c:v>
                </c:pt>
                <c:pt idx="24">
                  <c:v>15.422000000000001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3段枝分れ実験によってサンプリングされた膜厚データ等'!$AW$149:$AW$173</c:f>
              <c:numCache>
                <c:formatCode>0.000</c:formatCode>
                <c:ptCount val="25"/>
                <c:pt idx="0">
                  <c:v>19.766840000000002</c:v>
                </c:pt>
                <c:pt idx="1">
                  <c:v>19.766840000000002</c:v>
                </c:pt>
                <c:pt idx="2">
                  <c:v>19.766840000000002</c:v>
                </c:pt>
                <c:pt idx="3">
                  <c:v>19.766840000000002</c:v>
                </c:pt>
                <c:pt idx="4">
                  <c:v>19.766840000000002</c:v>
                </c:pt>
                <c:pt idx="5">
                  <c:v>19.766840000000002</c:v>
                </c:pt>
                <c:pt idx="6">
                  <c:v>19.766840000000002</c:v>
                </c:pt>
                <c:pt idx="7">
                  <c:v>19.766840000000002</c:v>
                </c:pt>
                <c:pt idx="8">
                  <c:v>19.766840000000002</c:v>
                </c:pt>
                <c:pt idx="9">
                  <c:v>19.766840000000002</c:v>
                </c:pt>
                <c:pt idx="10">
                  <c:v>19.766840000000002</c:v>
                </c:pt>
                <c:pt idx="11">
                  <c:v>19.766840000000002</c:v>
                </c:pt>
                <c:pt idx="12">
                  <c:v>19.766840000000002</c:v>
                </c:pt>
                <c:pt idx="13">
                  <c:v>19.766840000000002</c:v>
                </c:pt>
                <c:pt idx="14">
                  <c:v>19.766840000000002</c:v>
                </c:pt>
                <c:pt idx="15">
                  <c:v>19.766840000000002</c:v>
                </c:pt>
                <c:pt idx="16">
                  <c:v>19.766840000000002</c:v>
                </c:pt>
                <c:pt idx="17">
                  <c:v>19.766840000000002</c:v>
                </c:pt>
                <c:pt idx="18">
                  <c:v>19.766840000000002</c:v>
                </c:pt>
                <c:pt idx="19">
                  <c:v>19.766840000000002</c:v>
                </c:pt>
                <c:pt idx="20">
                  <c:v>19.766840000000002</c:v>
                </c:pt>
                <c:pt idx="21">
                  <c:v>19.766840000000002</c:v>
                </c:pt>
                <c:pt idx="22">
                  <c:v>19.766840000000002</c:v>
                </c:pt>
                <c:pt idx="23">
                  <c:v>19.766840000000002</c:v>
                </c:pt>
                <c:pt idx="24">
                  <c:v>19.766840000000002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3段枝分れ実験によってサンプリングされた膜厚データ等'!$AX$149:$AX$173</c:f>
              <c:numCache>
                <c:formatCode>0.000</c:formatCode>
                <c:ptCount val="25"/>
                <c:pt idx="0">
                  <c:v>11.077160000000001</c:v>
                </c:pt>
                <c:pt idx="1">
                  <c:v>11.077160000000001</c:v>
                </c:pt>
                <c:pt idx="2">
                  <c:v>11.077160000000001</c:v>
                </c:pt>
                <c:pt idx="3">
                  <c:v>11.077160000000001</c:v>
                </c:pt>
                <c:pt idx="4">
                  <c:v>11.077160000000001</c:v>
                </c:pt>
                <c:pt idx="5">
                  <c:v>11.077160000000001</c:v>
                </c:pt>
                <c:pt idx="6">
                  <c:v>11.077160000000001</c:v>
                </c:pt>
                <c:pt idx="7">
                  <c:v>11.077160000000001</c:v>
                </c:pt>
                <c:pt idx="8">
                  <c:v>11.077160000000001</c:v>
                </c:pt>
                <c:pt idx="9">
                  <c:v>11.077160000000001</c:v>
                </c:pt>
                <c:pt idx="10">
                  <c:v>11.077160000000001</c:v>
                </c:pt>
                <c:pt idx="11">
                  <c:v>11.077160000000001</c:v>
                </c:pt>
                <c:pt idx="12">
                  <c:v>11.077160000000001</c:v>
                </c:pt>
                <c:pt idx="13">
                  <c:v>11.077160000000001</c:v>
                </c:pt>
                <c:pt idx="14">
                  <c:v>11.077160000000001</c:v>
                </c:pt>
                <c:pt idx="15">
                  <c:v>11.077160000000001</c:v>
                </c:pt>
                <c:pt idx="16">
                  <c:v>11.077160000000001</c:v>
                </c:pt>
                <c:pt idx="17">
                  <c:v>11.077160000000001</c:v>
                </c:pt>
                <c:pt idx="18">
                  <c:v>11.077160000000001</c:v>
                </c:pt>
                <c:pt idx="19">
                  <c:v>11.077160000000001</c:v>
                </c:pt>
                <c:pt idx="20">
                  <c:v>11.077160000000001</c:v>
                </c:pt>
                <c:pt idx="21">
                  <c:v>11.077160000000001</c:v>
                </c:pt>
                <c:pt idx="22">
                  <c:v>11.077160000000001</c:v>
                </c:pt>
                <c:pt idx="23">
                  <c:v>11.077160000000001</c:v>
                </c:pt>
                <c:pt idx="24">
                  <c:v>11.077160000000001</c:v>
                </c:pt>
              </c:numCache>
            </c:numRef>
          </c:val>
          <c:smooth val="0"/>
        </c:ser>
        <c:ser>
          <c:idx val="4"/>
          <c:order val="4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3段枝分れ実験によってサンプリングされた膜厚データ等'!$AY$149:$AY$173</c:f>
              <c:numCache>
                <c:formatCode>General</c:formatCode>
                <c:ptCount val="25"/>
                <c:pt idx="0">
                  <c:v>18.318560000000002</c:v>
                </c:pt>
                <c:pt idx="1">
                  <c:v>18.318560000000002</c:v>
                </c:pt>
                <c:pt idx="2">
                  <c:v>18.318560000000002</c:v>
                </c:pt>
                <c:pt idx="3">
                  <c:v>18.318560000000002</c:v>
                </c:pt>
                <c:pt idx="4">
                  <c:v>18.318560000000002</c:v>
                </c:pt>
                <c:pt idx="5">
                  <c:v>18.318560000000002</c:v>
                </c:pt>
                <c:pt idx="6">
                  <c:v>18.318560000000002</c:v>
                </c:pt>
                <c:pt idx="7">
                  <c:v>18.318560000000002</c:v>
                </c:pt>
                <c:pt idx="8">
                  <c:v>18.318560000000002</c:v>
                </c:pt>
                <c:pt idx="9">
                  <c:v>18.318560000000002</c:v>
                </c:pt>
                <c:pt idx="10">
                  <c:v>18.318560000000002</c:v>
                </c:pt>
                <c:pt idx="11">
                  <c:v>18.318560000000002</c:v>
                </c:pt>
                <c:pt idx="12">
                  <c:v>18.318560000000002</c:v>
                </c:pt>
                <c:pt idx="13">
                  <c:v>18.318560000000002</c:v>
                </c:pt>
                <c:pt idx="14">
                  <c:v>18.318560000000002</c:v>
                </c:pt>
                <c:pt idx="15">
                  <c:v>18.318560000000002</c:v>
                </c:pt>
                <c:pt idx="16">
                  <c:v>18.318560000000002</c:v>
                </c:pt>
                <c:pt idx="17">
                  <c:v>18.318560000000002</c:v>
                </c:pt>
                <c:pt idx="18">
                  <c:v>18.318560000000002</c:v>
                </c:pt>
                <c:pt idx="19">
                  <c:v>18.318560000000002</c:v>
                </c:pt>
                <c:pt idx="20">
                  <c:v>18.318560000000002</c:v>
                </c:pt>
                <c:pt idx="21">
                  <c:v>18.318560000000002</c:v>
                </c:pt>
                <c:pt idx="22">
                  <c:v>18.318560000000002</c:v>
                </c:pt>
                <c:pt idx="23">
                  <c:v>18.318560000000002</c:v>
                </c:pt>
                <c:pt idx="24">
                  <c:v>18.318560000000002</c:v>
                </c:pt>
              </c:numCache>
            </c:numRef>
          </c:val>
          <c:smooth val="0"/>
        </c:ser>
        <c:ser>
          <c:idx val="5"/>
          <c:order val="5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3段枝分れ実験によってサンプリングされた膜厚データ等'!$AZ$149:$AZ$173</c:f>
              <c:numCache>
                <c:formatCode>General</c:formatCode>
                <c:ptCount val="25"/>
                <c:pt idx="0">
                  <c:v>16.870280000000001</c:v>
                </c:pt>
                <c:pt idx="1">
                  <c:v>16.870280000000001</c:v>
                </c:pt>
                <c:pt idx="2">
                  <c:v>16.870280000000001</c:v>
                </c:pt>
                <c:pt idx="3">
                  <c:v>16.870280000000001</c:v>
                </c:pt>
                <c:pt idx="4">
                  <c:v>16.870280000000001</c:v>
                </c:pt>
                <c:pt idx="5">
                  <c:v>16.870280000000001</c:v>
                </c:pt>
                <c:pt idx="6">
                  <c:v>16.870280000000001</c:v>
                </c:pt>
                <c:pt idx="7">
                  <c:v>16.870280000000001</c:v>
                </c:pt>
                <c:pt idx="8">
                  <c:v>16.870280000000001</c:v>
                </c:pt>
                <c:pt idx="9">
                  <c:v>16.870280000000001</c:v>
                </c:pt>
                <c:pt idx="10">
                  <c:v>16.870280000000001</c:v>
                </c:pt>
                <c:pt idx="11">
                  <c:v>16.870280000000001</c:v>
                </c:pt>
                <c:pt idx="12">
                  <c:v>16.870280000000001</c:v>
                </c:pt>
                <c:pt idx="13">
                  <c:v>16.870280000000001</c:v>
                </c:pt>
                <c:pt idx="14">
                  <c:v>16.870280000000001</c:v>
                </c:pt>
                <c:pt idx="15">
                  <c:v>16.870280000000001</c:v>
                </c:pt>
                <c:pt idx="16">
                  <c:v>16.870280000000001</c:v>
                </c:pt>
                <c:pt idx="17">
                  <c:v>16.870280000000001</c:v>
                </c:pt>
                <c:pt idx="18">
                  <c:v>16.870280000000001</c:v>
                </c:pt>
                <c:pt idx="19">
                  <c:v>16.870280000000001</c:v>
                </c:pt>
                <c:pt idx="20">
                  <c:v>16.870280000000001</c:v>
                </c:pt>
                <c:pt idx="21">
                  <c:v>16.870280000000001</c:v>
                </c:pt>
                <c:pt idx="22">
                  <c:v>16.870280000000001</c:v>
                </c:pt>
                <c:pt idx="23">
                  <c:v>16.870280000000001</c:v>
                </c:pt>
                <c:pt idx="24">
                  <c:v>16.870280000000001</c:v>
                </c:pt>
              </c:numCache>
            </c:numRef>
          </c:val>
          <c:smooth val="0"/>
        </c:ser>
        <c:ser>
          <c:idx val="6"/>
          <c:order val="6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3段枝分れ実験によってサンプリングされた膜厚データ等'!$BA$149:$BA$173</c:f>
              <c:numCache>
                <c:formatCode>General</c:formatCode>
                <c:ptCount val="25"/>
                <c:pt idx="0">
                  <c:v>13.97372</c:v>
                </c:pt>
                <c:pt idx="1">
                  <c:v>13.97372</c:v>
                </c:pt>
                <c:pt idx="2">
                  <c:v>13.97372</c:v>
                </c:pt>
                <c:pt idx="3">
                  <c:v>13.97372</c:v>
                </c:pt>
                <c:pt idx="4">
                  <c:v>13.97372</c:v>
                </c:pt>
                <c:pt idx="5">
                  <c:v>13.97372</c:v>
                </c:pt>
                <c:pt idx="6">
                  <c:v>13.97372</c:v>
                </c:pt>
                <c:pt idx="7">
                  <c:v>13.97372</c:v>
                </c:pt>
                <c:pt idx="8">
                  <c:v>13.97372</c:v>
                </c:pt>
                <c:pt idx="9">
                  <c:v>13.97372</c:v>
                </c:pt>
                <c:pt idx="10">
                  <c:v>13.97372</c:v>
                </c:pt>
                <c:pt idx="11">
                  <c:v>13.97372</c:v>
                </c:pt>
                <c:pt idx="12">
                  <c:v>13.97372</c:v>
                </c:pt>
                <c:pt idx="13">
                  <c:v>13.97372</c:v>
                </c:pt>
                <c:pt idx="14">
                  <c:v>13.97372</c:v>
                </c:pt>
                <c:pt idx="15">
                  <c:v>13.97372</c:v>
                </c:pt>
                <c:pt idx="16">
                  <c:v>13.97372</c:v>
                </c:pt>
                <c:pt idx="17">
                  <c:v>13.97372</c:v>
                </c:pt>
                <c:pt idx="18">
                  <c:v>13.97372</c:v>
                </c:pt>
                <c:pt idx="19">
                  <c:v>13.97372</c:v>
                </c:pt>
                <c:pt idx="20">
                  <c:v>13.97372</c:v>
                </c:pt>
                <c:pt idx="21">
                  <c:v>13.97372</c:v>
                </c:pt>
                <c:pt idx="22">
                  <c:v>13.97372</c:v>
                </c:pt>
                <c:pt idx="23">
                  <c:v>13.97372</c:v>
                </c:pt>
                <c:pt idx="24">
                  <c:v>13.97372</c:v>
                </c:pt>
              </c:numCache>
            </c:numRef>
          </c:val>
          <c:smooth val="0"/>
        </c:ser>
        <c:ser>
          <c:idx val="7"/>
          <c:order val="7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3段枝分れ実験によってサンプリングされた膜厚データ等'!$BB$149:$BB$173</c:f>
              <c:numCache>
                <c:formatCode>General</c:formatCode>
                <c:ptCount val="25"/>
                <c:pt idx="0">
                  <c:v>12.52544</c:v>
                </c:pt>
                <c:pt idx="1">
                  <c:v>12.52544</c:v>
                </c:pt>
                <c:pt idx="2">
                  <c:v>12.52544</c:v>
                </c:pt>
                <c:pt idx="3">
                  <c:v>12.52544</c:v>
                </c:pt>
                <c:pt idx="4">
                  <c:v>12.52544</c:v>
                </c:pt>
                <c:pt idx="5">
                  <c:v>12.52544</c:v>
                </c:pt>
                <c:pt idx="6">
                  <c:v>12.52544</c:v>
                </c:pt>
                <c:pt idx="7">
                  <c:v>12.52544</c:v>
                </c:pt>
                <c:pt idx="8">
                  <c:v>12.52544</c:v>
                </c:pt>
                <c:pt idx="9">
                  <c:v>12.52544</c:v>
                </c:pt>
                <c:pt idx="10">
                  <c:v>12.52544</c:v>
                </c:pt>
                <c:pt idx="11">
                  <c:v>12.52544</c:v>
                </c:pt>
                <c:pt idx="12">
                  <c:v>12.52544</c:v>
                </c:pt>
                <c:pt idx="13">
                  <c:v>12.52544</c:v>
                </c:pt>
                <c:pt idx="14">
                  <c:v>12.52544</c:v>
                </c:pt>
                <c:pt idx="15">
                  <c:v>12.52544</c:v>
                </c:pt>
                <c:pt idx="16">
                  <c:v>12.52544</c:v>
                </c:pt>
                <c:pt idx="17">
                  <c:v>12.52544</c:v>
                </c:pt>
                <c:pt idx="18">
                  <c:v>12.52544</c:v>
                </c:pt>
                <c:pt idx="19">
                  <c:v>12.52544</c:v>
                </c:pt>
                <c:pt idx="20">
                  <c:v>12.52544</c:v>
                </c:pt>
                <c:pt idx="21">
                  <c:v>12.52544</c:v>
                </c:pt>
                <c:pt idx="22">
                  <c:v>12.52544</c:v>
                </c:pt>
                <c:pt idx="23">
                  <c:v>12.52544</c:v>
                </c:pt>
                <c:pt idx="24">
                  <c:v>12.52544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74112"/>
        <c:axId val="135684096"/>
      </c:lineChart>
      <c:catAx>
        <c:axId val="13567411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5684096"/>
        <c:crosses val="autoZero"/>
        <c:auto val="0"/>
        <c:lblAlgn val="ctr"/>
        <c:lblOffset val="100"/>
        <c:noMultiLvlLbl val="0"/>
      </c:catAx>
      <c:valAx>
        <c:axId val="135684096"/>
        <c:scaling>
          <c:orientation val="minMax"/>
          <c:min val="10"/>
        </c:scaling>
        <c:delete val="0"/>
        <c:axPos val="l"/>
        <c:numFmt formatCode="0.00" sourceLinked="1"/>
        <c:majorTickMark val="out"/>
        <c:minorTickMark val="none"/>
        <c:tickLblPos val="nextTo"/>
        <c:crossAx val="135674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359494380709806E-2"/>
          <c:y val="3.29113924050633E-2"/>
          <c:w val="0.89732003084184198"/>
          <c:h val="0.79532585022616797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3段枝分れ実験によってサンプリングされた膜厚データ等'!$BD$149:$BD$173</c:f>
              <c:numCache>
                <c:formatCode>0.0</c:formatCode>
                <c:ptCount val="25"/>
                <c:pt idx="0">
                  <c:v>6.3000000000000007</c:v>
                </c:pt>
                <c:pt idx="1">
                  <c:v>2.9000000000000004</c:v>
                </c:pt>
                <c:pt idx="2">
                  <c:v>6.2000000000000011</c:v>
                </c:pt>
                <c:pt idx="3">
                  <c:v>1.8999999999999986</c:v>
                </c:pt>
                <c:pt idx="4">
                  <c:v>3.7000000000000011</c:v>
                </c:pt>
                <c:pt idx="5">
                  <c:v>6.7000000000000011</c:v>
                </c:pt>
                <c:pt idx="6">
                  <c:v>6.6999999999999993</c:v>
                </c:pt>
                <c:pt idx="7">
                  <c:v>2.6999999999999993</c:v>
                </c:pt>
                <c:pt idx="8">
                  <c:v>3.9000000000000004</c:v>
                </c:pt>
                <c:pt idx="9">
                  <c:v>5.2000000000000011</c:v>
                </c:pt>
                <c:pt idx="10">
                  <c:v>10.199999999999999</c:v>
                </c:pt>
                <c:pt idx="11">
                  <c:v>4.5999999999999996</c:v>
                </c:pt>
                <c:pt idx="12">
                  <c:v>3.6999999999999993</c:v>
                </c:pt>
                <c:pt idx="13">
                  <c:v>7.9</c:v>
                </c:pt>
                <c:pt idx="14">
                  <c:v>8.3999999999999986</c:v>
                </c:pt>
                <c:pt idx="15">
                  <c:v>8.3000000000000007</c:v>
                </c:pt>
                <c:pt idx="16">
                  <c:v>7.7000000000000011</c:v>
                </c:pt>
                <c:pt idx="17">
                  <c:v>5.0999999999999996</c:v>
                </c:pt>
                <c:pt idx="18">
                  <c:v>4.0000000000000018</c:v>
                </c:pt>
                <c:pt idx="19">
                  <c:v>5.8999999999999986</c:v>
                </c:pt>
                <c:pt idx="20">
                  <c:v>7</c:v>
                </c:pt>
                <c:pt idx="21">
                  <c:v>12.200000000000001</c:v>
                </c:pt>
                <c:pt idx="22">
                  <c:v>5.5</c:v>
                </c:pt>
                <c:pt idx="23">
                  <c:v>10.299999999999999</c:v>
                </c:pt>
                <c:pt idx="24">
                  <c:v>1.9999999999999982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3段枝分れ実験によってサンプリングされた膜厚データ等'!$BE$149:$BE$173</c:f>
              <c:numCache>
                <c:formatCode>0.00</c:formatCode>
                <c:ptCount val="25"/>
                <c:pt idx="0">
                  <c:v>5.96</c:v>
                </c:pt>
                <c:pt idx="1">
                  <c:v>5.96</c:v>
                </c:pt>
                <c:pt idx="2">
                  <c:v>5.96</c:v>
                </c:pt>
                <c:pt idx="3">
                  <c:v>5.96</c:v>
                </c:pt>
                <c:pt idx="4">
                  <c:v>5.96</c:v>
                </c:pt>
                <c:pt idx="5">
                  <c:v>5.96</c:v>
                </c:pt>
                <c:pt idx="6">
                  <c:v>5.96</c:v>
                </c:pt>
                <c:pt idx="7">
                  <c:v>5.96</c:v>
                </c:pt>
                <c:pt idx="8">
                  <c:v>5.96</c:v>
                </c:pt>
                <c:pt idx="9">
                  <c:v>5.96</c:v>
                </c:pt>
                <c:pt idx="10">
                  <c:v>5.96</c:v>
                </c:pt>
                <c:pt idx="11">
                  <c:v>5.96</c:v>
                </c:pt>
                <c:pt idx="12">
                  <c:v>5.96</c:v>
                </c:pt>
                <c:pt idx="13">
                  <c:v>5.96</c:v>
                </c:pt>
                <c:pt idx="14">
                  <c:v>5.96</c:v>
                </c:pt>
                <c:pt idx="15">
                  <c:v>5.96</c:v>
                </c:pt>
                <c:pt idx="16">
                  <c:v>5.96</c:v>
                </c:pt>
                <c:pt idx="17">
                  <c:v>5.96</c:v>
                </c:pt>
                <c:pt idx="18">
                  <c:v>5.96</c:v>
                </c:pt>
                <c:pt idx="19">
                  <c:v>5.96</c:v>
                </c:pt>
                <c:pt idx="20">
                  <c:v>5.96</c:v>
                </c:pt>
                <c:pt idx="21">
                  <c:v>5.96</c:v>
                </c:pt>
                <c:pt idx="22">
                  <c:v>5.96</c:v>
                </c:pt>
                <c:pt idx="23">
                  <c:v>5.96</c:v>
                </c:pt>
                <c:pt idx="24">
                  <c:v>5.96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3段枝分れ実験によってサンプリングされた膜厚データ等'!$BF$149:$BF$173</c:f>
              <c:numCache>
                <c:formatCode>0.00</c:formatCode>
                <c:ptCount val="25"/>
                <c:pt idx="0">
                  <c:v>13.588799999999999</c:v>
                </c:pt>
                <c:pt idx="1">
                  <c:v>13.588799999999999</c:v>
                </c:pt>
                <c:pt idx="2">
                  <c:v>13.588799999999999</c:v>
                </c:pt>
                <c:pt idx="3">
                  <c:v>13.588799999999999</c:v>
                </c:pt>
                <c:pt idx="4">
                  <c:v>13.588799999999999</c:v>
                </c:pt>
                <c:pt idx="5">
                  <c:v>13.588799999999999</c:v>
                </c:pt>
                <c:pt idx="6">
                  <c:v>13.588799999999999</c:v>
                </c:pt>
                <c:pt idx="7">
                  <c:v>13.588799999999999</c:v>
                </c:pt>
                <c:pt idx="8">
                  <c:v>13.588799999999999</c:v>
                </c:pt>
                <c:pt idx="9">
                  <c:v>13.588799999999999</c:v>
                </c:pt>
                <c:pt idx="10">
                  <c:v>13.588799999999999</c:v>
                </c:pt>
                <c:pt idx="11">
                  <c:v>13.588799999999999</c:v>
                </c:pt>
                <c:pt idx="12">
                  <c:v>13.588799999999999</c:v>
                </c:pt>
                <c:pt idx="13">
                  <c:v>13.588799999999999</c:v>
                </c:pt>
                <c:pt idx="14">
                  <c:v>13.588799999999999</c:v>
                </c:pt>
                <c:pt idx="15">
                  <c:v>13.588799999999999</c:v>
                </c:pt>
                <c:pt idx="16">
                  <c:v>13.588799999999999</c:v>
                </c:pt>
                <c:pt idx="17">
                  <c:v>13.588799999999999</c:v>
                </c:pt>
                <c:pt idx="18">
                  <c:v>13.588799999999999</c:v>
                </c:pt>
                <c:pt idx="19">
                  <c:v>13.588799999999999</c:v>
                </c:pt>
                <c:pt idx="20">
                  <c:v>13.588799999999999</c:v>
                </c:pt>
                <c:pt idx="21">
                  <c:v>13.588799999999999</c:v>
                </c:pt>
                <c:pt idx="22">
                  <c:v>13.588799999999999</c:v>
                </c:pt>
                <c:pt idx="23">
                  <c:v>13.588799999999999</c:v>
                </c:pt>
                <c:pt idx="24">
                  <c:v>13.588799999999999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3段枝分れ実験によってサンプリングされた膜厚データ等'!$BG$149:$BG$173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3段枝分れ実験によってサンプリングされた膜厚データ等'!$BH$149:$BH$173</c:f>
              <c:numCache>
                <c:formatCode>General</c:formatCode>
                <c:ptCount val="25"/>
                <c:pt idx="0">
                  <c:v>11.045866666666665</c:v>
                </c:pt>
                <c:pt idx="1">
                  <c:v>11.045866666666665</c:v>
                </c:pt>
                <c:pt idx="2">
                  <c:v>11.045866666666665</c:v>
                </c:pt>
                <c:pt idx="3">
                  <c:v>11.045866666666665</c:v>
                </c:pt>
                <c:pt idx="4">
                  <c:v>11.045866666666665</c:v>
                </c:pt>
                <c:pt idx="5">
                  <c:v>11.045866666666665</c:v>
                </c:pt>
                <c:pt idx="6">
                  <c:v>11.045866666666665</c:v>
                </c:pt>
                <c:pt idx="7">
                  <c:v>11.045866666666665</c:v>
                </c:pt>
                <c:pt idx="8">
                  <c:v>11.045866666666665</c:v>
                </c:pt>
                <c:pt idx="9">
                  <c:v>11.045866666666665</c:v>
                </c:pt>
                <c:pt idx="10">
                  <c:v>11.045866666666665</c:v>
                </c:pt>
                <c:pt idx="11">
                  <c:v>11.045866666666665</c:v>
                </c:pt>
                <c:pt idx="12">
                  <c:v>11.045866666666665</c:v>
                </c:pt>
                <c:pt idx="13">
                  <c:v>11.045866666666665</c:v>
                </c:pt>
                <c:pt idx="14">
                  <c:v>11.045866666666665</c:v>
                </c:pt>
                <c:pt idx="15">
                  <c:v>11.045866666666665</c:v>
                </c:pt>
                <c:pt idx="16">
                  <c:v>11.045866666666665</c:v>
                </c:pt>
                <c:pt idx="17">
                  <c:v>11.045866666666665</c:v>
                </c:pt>
                <c:pt idx="18">
                  <c:v>11.045866666666665</c:v>
                </c:pt>
                <c:pt idx="19">
                  <c:v>11.045866666666665</c:v>
                </c:pt>
                <c:pt idx="20">
                  <c:v>11.045866666666665</c:v>
                </c:pt>
                <c:pt idx="21">
                  <c:v>11.045866666666665</c:v>
                </c:pt>
                <c:pt idx="22">
                  <c:v>11.045866666666665</c:v>
                </c:pt>
                <c:pt idx="23">
                  <c:v>11.045866666666665</c:v>
                </c:pt>
                <c:pt idx="24">
                  <c:v>11.045866666666665</c:v>
                </c:pt>
              </c:numCache>
            </c:numRef>
          </c:val>
          <c:smooth val="0"/>
        </c:ser>
        <c:ser>
          <c:idx val="5"/>
          <c:order val="5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3段枝分れ実験によってサンプリングされた膜厚データ等'!$BI$149:$BI$173</c:f>
              <c:numCache>
                <c:formatCode>General</c:formatCode>
                <c:ptCount val="25"/>
                <c:pt idx="0">
                  <c:v>8.502933333333333</c:v>
                </c:pt>
                <c:pt idx="1">
                  <c:v>8.502933333333333</c:v>
                </c:pt>
                <c:pt idx="2">
                  <c:v>8.502933333333333</c:v>
                </c:pt>
                <c:pt idx="3">
                  <c:v>8.502933333333333</c:v>
                </c:pt>
                <c:pt idx="4">
                  <c:v>8.502933333333333</c:v>
                </c:pt>
                <c:pt idx="5">
                  <c:v>8.502933333333333</c:v>
                </c:pt>
                <c:pt idx="6">
                  <c:v>8.502933333333333</c:v>
                </c:pt>
                <c:pt idx="7">
                  <c:v>8.502933333333333</c:v>
                </c:pt>
                <c:pt idx="8">
                  <c:v>8.502933333333333</c:v>
                </c:pt>
                <c:pt idx="9">
                  <c:v>8.502933333333333</c:v>
                </c:pt>
                <c:pt idx="10">
                  <c:v>8.502933333333333</c:v>
                </c:pt>
                <c:pt idx="11">
                  <c:v>8.502933333333333</c:v>
                </c:pt>
                <c:pt idx="12">
                  <c:v>8.502933333333333</c:v>
                </c:pt>
                <c:pt idx="13">
                  <c:v>8.502933333333333</c:v>
                </c:pt>
                <c:pt idx="14">
                  <c:v>8.502933333333333</c:v>
                </c:pt>
                <c:pt idx="15">
                  <c:v>8.502933333333333</c:v>
                </c:pt>
                <c:pt idx="16">
                  <c:v>8.502933333333333</c:v>
                </c:pt>
                <c:pt idx="17">
                  <c:v>8.502933333333333</c:v>
                </c:pt>
                <c:pt idx="18">
                  <c:v>8.502933333333333</c:v>
                </c:pt>
                <c:pt idx="19">
                  <c:v>8.502933333333333</c:v>
                </c:pt>
                <c:pt idx="20">
                  <c:v>8.502933333333333</c:v>
                </c:pt>
                <c:pt idx="21">
                  <c:v>8.502933333333333</c:v>
                </c:pt>
                <c:pt idx="22">
                  <c:v>8.502933333333333</c:v>
                </c:pt>
                <c:pt idx="23">
                  <c:v>8.502933333333333</c:v>
                </c:pt>
                <c:pt idx="24">
                  <c:v>8.502933333333333</c:v>
                </c:pt>
              </c:numCache>
            </c:numRef>
          </c:val>
          <c:smooth val="0"/>
        </c:ser>
        <c:ser>
          <c:idx val="6"/>
          <c:order val="6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3段枝分れ実験によってサンプリングされた膜厚データ等'!$BJ$149:$BJ$173</c:f>
              <c:numCache>
                <c:formatCode>General</c:formatCode>
                <c:ptCount val="25"/>
                <c:pt idx="0">
                  <c:v>3.9733333333333336</c:v>
                </c:pt>
                <c:pt idx="1">
                  <c:v>3.9733333333333336</c:v>
                </c:pt>
                <c:pt idx="2">
                  <c:v>3.9733333333333336</c:v>
                </c:pt>
                <c:pt idx="3">
                  <c:v>3.9733333333333336</c:v>
                </c:pt>
                <c:pt idx="4">
                  <c:v>3.9733333333333336</c:v>
                </c:pt>
                <c:pt idx="5">
                  <c:v>3.9733333333333336</c:v>
                </c:pt>
                <c:pt idx="6">
                  <c:v>3.9733333333333336</c:v>
                </c:pt>
                <c:pt idx="7">
                  <c:v>3.9733333333333336</c:v>
                </c:pt>
                <c:pt idx="8">
                  <c:v>3.9733333333333336</c:v>
                </c:pt>
                <c:pt idx="9">
                  <c:v>3.9733333333333336</c:v>
                </c:pt>
                <c:pt idx="10">
                  <c:v>3.9733333333333336</c:v>
                </c:pt>
                <c:pt idx="11">
                  <c:v>3.9733333333333336</c:v>
                </c:pt>
                <c:pt idx="12">
                  <c:v>3.9733333333333336</c:v>
                </c:pt>
                <c:pt idx="13">
                  <c:v>3.9733333333333336</c:v>
                </c:pt>
                <c:pt idx="14">
                  <c:v>3.9733333333333336</c:v>
                </c:pt>
                <c:pt idx="15">
                  <c:v>3.9733333333333336</c:v>
                </c:pt>
                <c:pt idx="16">
                  <c:v>3.9733333333333336</c:v>
                </c:pt>
                <c:pt idx="17">
                  <c:v>3.9733333333333336</c:v>
                </c:pt>
                <c:pt idx="18">
                  <c:v>3.9733333333333336</c:v>
                </c:pt>
                <c:pt idx="19">
                  <c:v>3.9733333333333336</c:v>
                </c:pt>
                <c:pt idx="20">
                  <c:v>3.9733333333333336</c:v>
                </c:pt>
                <c:pt idx="21">
                  <c:v>3.9733333333333336</c:v>
                </c:pt>
                <c:pt idx="22">
                  <c:v>3.9733333333333336</c:v>
                </c:pt>
                <c:pt idx="23">
                  <c:v>3.9733333333333336</c:v>
                </c:pt>
                <c:pt idx="24">
                  <c:v>3.9733333333333336</c:v>
                </c:pt>
              </c:numCache>
            </c:numRef>
          </c:val>
          <c:smooth val="0"/>
        </c:ser>
        <c:ser>
          <c:idx val="7"/>
          <c:order val="7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3段枝分れ実験によってサンプリングされた膜厚データ等'!$BK$149:$BK$173</c:f>
              <c:numCache>
                <c:formatCode>General</c:formatCode>
                <c:ptCount val="25"/>
                <c:pt idx="0">
                  <c:v>1.9866666666666668</c:v>
                </c:pt>
                <c:pt idx="1">
                  <c:v>1.9866666666666668</c:v>
                </c:pt>
                <c:pt idx="2">
                  <c:v>1.9866666666666668</c:v>
                </c:pt>
                <c:pt idx="3">
                  <c:v>1.9866666666666668</c:v>
                </c:pt>
                <c:pt idx="4">
                  <c:v>1.9866666666666668</c:v>
                </c:pt>
                <c:pt idx="5">
                  <c:v>1.9866666666666668</c:v>
                </c:pt>
                <c:pt idx="6">
                  <c:v>1.9866666666666668</c:v>
                </c:pt>
                <c:pt idx="7">
                  <c:v>1.9866666666666668</c:v>
                </c:pt>
                <c:pt idx="8">
                  <c:v>1.9866666666666668</c:v>
                </c:pt>
                <c:pt idx="9">
                  <c:v>1.9866666666666668</c:v>
                </c:pt>
                <c:pt idx="10">
                  <c:v>1.9866666666666668</c:v>
                </c:pt>
                <c:pt idx="11">
                  <c:v>1.9866666666666668</c:v>
                </c:pt>
                <c:pt idx="12">
                  <c:v>1.9866666666666668</c:v>
                </c:pt>
                <c:pt idx="13">
                  <c:v>1.9866666666666668</c:v>
                </c:pt>
                <c:pt idx="14">
                  <c:v>1.9866666666666668</c:v>
                </c:pt>
                <c:pt idx="15">
                  <c:v>1.9866666666666668</c:v>
                </c:pt>
                <c:pt idx="16">
                  <c:v>1.9866666666666668</c:v>
                </c:pt>
                <c:pt idx="17">
                  <c:v>1.9866666666666668</c:v>
                </c:pt>
                <c:pt idx="18">
                  <c:v>1.9866666666666668</c:v>
                </c:pt>
                <c:pt idx="19">
                  <c:v>1.9866666666666668</c:v>
                </c:pt>
                <c:pt idx="20">
                  <c:v>1.9866666666666668</c:v>
                </c:pt>
                <c:pt idx="21">
                  <c:v>1.9866666666666668</c:v>
                </c:pt>
                <c:pt idx="22">
                  <c:v>1.9866666666666668</c:v>
                </c:pt>
                <c:pt idx="23">
                  <c:v>1.9866666666666668</c:v>
                </c:pt>
                <c:pt idx="24">
                  <c:v>1.9866666666666668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29920"/>
        <c:axId val="135731456"/>
      </c:lineChart>
      <c:catAx>
        <c:axId val="135729920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5731456"/>
        <c:crosses val="autoZero"/>
        <c:auto val="0"/>
        <c:lblAlgn val="ctr"/>
        <c:lblOffset val="100"/>
        <c:noMultiLvlLbl val="0"/>
      </c:catAx>
      <c:valAx>
        <c:axId val="13573145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357299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288730887940399E-2"/>
          <c:y val="3.29113924050633E-2"/>
          <c:w val="0.95475079198541302"/>
          <c:h val="0.90291996411840902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3段枝分れ実験によってサンプリングされた膜厚データ等'!$I$149:$I$173</c:f>
              <c:numCache>
                <c:formatCode>General</c:formatCode>
                <c:ptCount val="25"/>
                <c:pt idx="0">
                  <c:v>17.4375</c:v>
                </c:pt>
                <c:pt idx="1">
                  <c:v>15.637499999999999</c:v>
                </c:pt>
                <c:pt idx="2">
                  <c:v>15.875</c:v>
                </c:pt>
                <c:pt idx="3">
                  <c:v>17.175000000000001</c:v>
                </c:pt>
                <c:pt idx="4">
                  <c:v>15.799999999999999</c:v>
                </c:pt>
                <c:pt idx="5">
                  <c:v>14.95</c:v>
                </c:pt>
                <c:pt idx="6">
                  <c:v>15.487499999999999</c:v>
                </c:pt>
                <c:pt idx="7">
                  <c:v>14.65</c:v>
                </c:pt>
                <c:pt idx="8">
                  <c:v>15.149999999999999</c:v>
                </c:pt>
                <c:pt idx="9">
                  <c:v>15.9</c:v>
                </c:pt>
                <c:pt idx="10">
                  <c:v>15.874999999999998</c:v>
                </c:pt>
                <c:pt idx="11">
                  <c:v>16.05</c:v>
                </c:pt>
                <c:pt idx="12">
                  <c:v>15.737500000000001</c:v>
                </c:pt>
                <c:pt idx="13">
                  <c:v>15.225</c:v>
                </c:pt>
                <c:pt idx="14">
                  <c:v>16.024999999999999</c:v>
                </c:pt>
                <c:pt idx="15">
                  <c:v>13.975</c:v>
                </c:pt>
                <c:pt idx="16">
                  <c:v>15.525</c:v>
                </c:pt>
                <c:pt idx="17">
                  <c:v>15.262499999999999</c:v>
                </c:pt>
                <c:pt idx="18">
                  <c:v>14.424999999999999</c:v>
                </c:pt>
                <c:pt idx="19">
                  <c:v>15.8375</c:v>
                </c:pt>
                <c:pt idx="20">
                  <c:v>14.425000000000001</c:v>
                </c:pt>
                <c:pt idx="21">
                  <c:v>14.55</c:v>
                </c:pt>
                <c:pt idx="22">
                  <c:v>12.925000000000001</c:v>
                </c:pt>
                <c:pt idx="23" formatCode="0.00">
                  <c:v>13.699999999999998</c:v>
                </c:pt>
                <c:pt idx="24">
                  <c:v>14.337500000000002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3段枝分れ実験によってサンプリングされた膜厚データ等'!$J$149:$J$173</c:f>
              <c:numCache>
                <c:formatCode>0.000</c:formatCode>
                <c:ptCount val="25"/>
                <c:pt idx="0">
                  <c:v>15.2775</c:v>
                </c:pt>
                <c:pt idx="1">
                  <c:v>15.2775</c:v>
                </c:pt>
                <c:pt idx="2">
                  <c:v>15.2775</c:v>
                </c:pt>
                <c:pt idx="3">
                  <c:v>15.2775</c:v>
                </c:pt>
                <c:pt idx="4">
                  <c:v>15.2775</c:v>
                </c:pt>
                <c:pt idx="5">
                  <c:v>15.2775</c:v>
                </c:pt>
                <c:pt idx="6">
                  <c:v>15.2775</c:v>
                </c:pt>
                <c:pt idx="7">
                  <c:v>15.2775</c:v>
                </c:pt>
                <c:pt idx="8">
                  <c:v>15.2775</c:v>
                </c:pt>
                <c:pt idx="9">
                  <c:v>15.2775</c:v>
                </c:pt>
                <c:pt idx="10">
                  <c:v>15.2775</c:v>
                </c:pt>
                <c:pt idx="11">
                  <c:v>15.2775</c:v>
                </c:pt>
                <c:pt idx="12">
                  <c:v>15.2775</c:v>
                </c:pt>
                <c:pt idx="13">
                  <c:v>15.2775</c:v>
                </c:pt>
                <c:pt idx="14">
                  <c:v>15.2775</c:v>
                </c:pt>
                <c:pt idx="15">
                  <c:v>15.2775</c:v>
                </c:pt>
                <c:pt idx="16">
                  <c:v>15.2775</c:v>
                </c:pt>
                <c:pt idx="17">
                  <c:v>15.2775</c:v>
                </c:pt>
                <c:pt idx="18">
                  <c:v>15.2775</c:v>
                </c:pt>
                <c:pt idx="19">
                  <c:v>15.2775</c:v>
                </c:pt>
                <c:pt idx="20">
                  <c:v>15.2775</c:v>
                </c:pt>
                <c:pt idx="21">
                  <c:v>15.2775</c:v>
                </c:pt>
                <c:pt idx="22">
                  <c:v>15.2775</c:v>
                </c:pt>
                <c:pt idx="23">
                  <c:v>15.2775</c:v>
                </c:pt>
                <c:pt idx="24">
                  <c:v>15.2775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3段枝分れ実験によってサンプリングされた膜厚データ等'!$K$149:$K$173</c:f>
              <c:numCache>
                <c:formatCode>0.000</c:formatCode>
                <c:ptCount val="25"/>
                <c:pt idx="0">
                  <c:v>17.658732000000001</c:v>
                </c:pt>
                <c:pt idx="1">
                  <c:v>17.658732000000001</c:v>
                </c:pt>
                <c:pt idx="2">
                  <c:v>17.658732000000001</c:v>
                </c:pt>
                <c:pt idx="3">
                  <c:v>17.658732000000001</c:v>
                </c:pt>
                <c:pt idx="4">
                  <c:v>17.658732000000001</c:v>
                </c:pt>
                <c:pt idx="5">
                  <c:v>17.658732000000001</c:v>
                </c:pt>
                <c:pt idx="6">
                  <c:v>17.658732000000001</c:v>
                </c:pt>
                <c:pt idx="7">
                  <c:v>17.658732000000001</c:v>
                </c:pt>
                <c:pt idx="8">
                  <c:v>17.658732000000001</c:v>
                </c:pt>
                <c:pt idx="9">
                  <c:v>17.658732000000001</c:v>
                </c:pt>
                <c:pt idx="10">
                  <c:v>17.658732000000001</c:v>
                </c:pt>
                <c:pt idx="11">
                  <c:v>17.658732000000001</c:v>
                </c:pt>
                <c:pt idx="12">
                  <c:v>17.658732000000001</c:v>
                </c:pt>
                <c:pt idx="13">
                  <c:v>17.658732000000001</c:v>
                </c:pt>
                <c:pt idx="14">
                  <c:v>17.658732000000001</c:v>
                </c:pt>
                <c:pt idx="15">
                  <c:v>17.658732000000001</c:v>
                </c:pt>
                <c:pt idx="16">
                  <c:v>17.658732000000001</c:v>
                </c:pt>
                <c:pt idx="17">
                  <c:v>17.658732000000001</c:v>
                </c:pt>
                <c:pt idx="18">
                  <c:v>17.658732000000001</c:v>
                </c:pt>
                <c:pt idx="19">
                  <c:v>17.658732000000001</c:v>
                </c:pt>
                <c:pt idx="20">
                  <c:v>17.658732000000001</c:v>
                </c:pt>
                <c:pt idx="21">
                  <c:v>17.658732000000001</c:v>
                </c:pt>
                <c:pt idx="22">
                  <c:v>17.658732000000001</c:v>
                </c:pt>
                <c:pt idx="23">
                  <c:v>17.658732000000001</c:v>
                </c:pt>
                <c:pt idx="24">
                  <c:v>17.658732000000001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3段枝分れ実験によってサンプリングされた膜厚データ等'!$L$149:$L$173</c:f>
              <c:numCache>
                <c:formatCode>0.000</c:formatCode>
                <c:ptCount val="25"/>
                <c:pt idx="0">
                  <c:v>12.896267999999999</c:v>
                </c:pt>
                <c:pt idx="1">
                  <c:v>12.896267999999999</c:v>
                </c:pt>
                <c:pt idx="2">
                  <c:v>12.896267999999999</c:v>
                </c:pt>
                <c:pt idx="3">
                  <c:v>12.896267999999999</c:v>
                </c:pt>
                <c:pt idx="4">
                  <c:v>12.896267999999999</c:v>
                </c:pt>
                <c:pt idx="5">
                  <c:v>12.896267999999999</c:v>
                </c:pt>
                <c:pt idx="6">
                  <c:v>12.896267999999999</c:v>
                </c:pt>
                <c:pt idx="7">
                  <c:v>12.896267999999999</c:v>
                </c:pt>
                <c:pt idx="8">
                  <c:v>12.896267999999999</c:v>
                </c:pt>
                <c:pt idx="9">
                  <c:v>12.896267999999999</c:v>
                </c:pt>
                <c:pt idx="10">
                  <c:v>12.896267999999999</c:v>
                </c:pt>
                <c:pt idx="11">
                  <c:v>12.896267999999999</c:v>
                </c:pt>
                <c:pt idx="12">
                  <c:v>12.896267999999999</c:v>
                </c:pt>
                <c:pt idx="13">
                  <c:v>12.896267999999999</c:v>
                </c:pt>
                <c:pt idx="14">
                  <c:v>12.896267999999999</c:v>
                </c:pt>
                <c:pt idx="15">
                  <c:v>12.896267999999999</c:v>
                </c:pt>
                <c:pt idx="16">
                  <c:v>12.896267999999999</c:v>
                </c:pt>
                <c:pt idx="17">
                  <c:v>12.896267999999999</c:v>
                </c:pt>
                <c:pt idx="18">
                  <c:v>12.896267999999999</c:v>
                </c:pt>
                <c:pt idx="19">
                  <c:v>12.896267999999999</c:v>
                </c:pt>
                <c:pt idx="20">
                  <c:v>12.896267999999999</c:v>
                </c:pt>
                <c:pt idx="21">
                  <c:v>12.896267999999999</c:v>
                </c:pt>
                <c:pt idx="22">
                  <c:v>12.896267999999999</c:v>
                </c:pt>
                <c:pt idx="23">
                  <c:v>12.896267999999999</c:v>
                </c:pt>
                <c:pt idx="24">
                  <c:v>12.896267999999999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12704"/>
        <c:axId val="130714240"/>
      </c:lineChart>
      <c:catAx>
        <c:axId val="13071270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0714240"/>
        <c:crosses val="autoZero"/>
        <c:auto val="0"/>
        <c:lblAlgn val="ctr"/>
        <c:lblOffset val="100"/>
        <c:noMultiLvlLbl val="0"/>
      </c:catAx>
      <c:valAx>
        <c:axId val="130714240"/>
        <c:scaling>
          <c:orientation val="minMax"/>
          <c:min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1307127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288713910761098E-2"/>
          <c:y val="3.5482055745602502E-2"/>
          <c:w val="0.95475079198541302"/>
          <c:h val="0.90291996411840902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3段枝分れ実験によってサンプリングされた膜厚データ等'!$R$149:$R$173</c:f>
              <c:numCache>
                <c:formatCode>General</c:formatCode>
                <c:ptCount val="25"/>
                <c:pt idx="0">
                  <c:v>6.3000000000000007</c:v>
                </c:pt>
                <c:pt idx="1">
                  <c:v>3.5000000000000018</c:v>
                </c:pt>
                <c:pt idx="2">
                  <c:v>6.2000000000000011</c:v>
                </c:pt>
                <c:pt idx="3">
                  <c:v>3.8000000000000007</c:v>
                </c:pt>
                <c:pt idx="4">
                  <c:v>4.4000000000000004</c:v>
                </c:pt>
                <c:pt idx="5">
                  <c:v>6.7000000000000011</c:v>
                </c:pt>
                <c:pt idx="6">
                  <c:v>6.6999999999999993</c:v>
                </c:pt>
                <c:pt idx="7">
                  <c:v>4.2000000000000011</c:v>
                </c:pt>
                <c:pt idx="8">
                  <c:v>3.9000000000000004</c:v>
                </c:pt>
                <c:pt idx="9">
                  <c:v>5.2000000000000011</c:v>
                </c:pt>
                <c:pt idx="10">
                  <c:v>10.199999999999999</c:v>
                </c:pt>
                <c:pt idx="11">
                  <c:v>4.5999999999999996</c:v>
                </c:pt>
                <c:pt idx="12">
                  <c:v>3.6999999999999993</c:v>
                </c:pt>
                <c:pt idx="13">
                  <c:v>7.9</c:v>
                </c:pt>
                <c:pt idx="14">
                  <c:v>8.3999999999999986</c:v>
                </c:pt>
                <c:pt idx="15">
                  <c:v>8.3000000000000007</c:v>
                </c:pt>
                <c:pt idx="16">
                  <c:v>7.7000000000000011</c:v>
                </c:pt>
                <c:pt idx="17">
                  <c:v>6.6</c:v>
                </c:pt>
                <c:pt idx="18">
                  <c:v>4.0000000000000018</c:v>
                </c:pt>
                <c:pt idx="19">
                  <c:v>7.1999999999999993</c:v>
                </c:pt>
                <c:pt idx="20">
                  <c:v>7</c:v>
                </c:pt>
                <c:pt idx="21">
                  <c:v>12.200000000000001</c:v>
                </c:pt>
                <c:pt idx="22">
                  <c:v>5.9</c:v>
                </c:pt>
                <c:pt idx="23">
                  <c:v>10.299999999999999</c:v>
                </c:pt>
                <c:pt idx="24">
                  <c:v>4.6999999999999993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3段枝分れ実験によってサンプリングされた膜厚データ等'!$S$149:$S$173</c:f>
              <c:numCache>
                <c:formatCode>0.00</c:formatCode>
                <c:ptCount val="25"/>
                <c:pt idx="0">
                  <c:v>6.3840000000000012</c:v>
                </c:pt>
                <c:pt idx="1">
                  <c:v>6.3840000000000012</c:v>
                </c:pt>
                <c:pt idx="2">
                  <c:v>6.3840000000000012</c:v>
                </c:pt>
                <c:pt idx="3">
                  <c:v>6.3840000000000012</c:v>
                </c:pt>
                <c:pt idx="4">
                  <c:v>6.3840000000000012</c:v>
                </c:pt>
                <c:pt idx="5">
                  <c:v>6.3840000000000012</c:v>
                </c:pt>
                <c:pt idx="6">
                  <c:v>6.3840000000000012</c:v>
                </c:pt>
                <c:pt idx="7">
                  <c:v>6.3840000000000012</c:v>
                </c:pt>
                <c:pt idx="8">
                  <c:v>6.3840000000000012</c:v>
                </c:pt>
                <c:pt idx="9">
                  <c:v>6.3840000000000012</c:v>
                </c:pt>
                <c:pt idx="10">
                  <c:v>6.3840000000000012</c:v>
                </c:pt>
                <c:pt idx="11">
                  <c:v>6.3840000000000012</c:v>
                </c:pt>
                <c:pt idx="12">
                  <c:v>6.3840000000000012</c:v>
                </c:pt>
                <c:pt idx="13">
                  <c:v>6.3840000000000012</c:v>
                </c:pt>
                <c:pt idx="14">
                  <c:v>6.3840000000000012</c:v>
                </c:pt>
                <c:pt idx="15">
                  <c:v>6.3840000000000012</c:v>
                </c:pt>
                <c:pt idx="16">
                  <c:v>6.3840000000000012</c:v>
                </c:pt>
                <c:pt idx="17">
                  <c:v>6.3840000000000012</c:v>
                </c:pt>
                <c:pt idx="18">
                  <c:v>6.3840000000000012</c:v>
                </c:pt>
                <c:pt idx="19">
                  <c:v>6.3840000000000012</c:v>
                </c:pt>
                <c:pt idx="20">
                  <c:v>6.3840000000000012</c:v>
                </c:pt>
                <c:pt idx="21">
                  <c:v>6.3840000000000012</c:v>
                </c:pt>
                <c:pt idx="22">
                  <c:v>6.3840000000000012</c:v>
                </c:pt>
                <c:pt idx="23">
                  <c:v>6.3840000000000012</c:v>
                </c:pt>
                <c:pt idx="24">
                  <c:v>6.3840000000000012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3段枝分れ実験によってサンプリングされた膜厚データ等'!$T$149:$T$173</c:f>
              <c:numCache>
                <c:formatCode>0.00</c:formatCode>
                <c:ptCount val="25"/>
                <c:pt idx="0">
                  <c:v>11.899776000000003</c:v>
                </c:pt>
                <c:pt idx="1">
                  <c:v>11.899776000000003</c:v>
                </c:pt>
                <c:pt idx="2">
                  <c:v>11.899776000000003</c:v>
                </c:pt>
                <c:pt idx="3">
                  <c:v>11.899776000000003</c:v>
                </c:pt>
                <c:pt idx="4">
                  <c:v>11.899776000000003</c:v>
                </c:pt>
                <c:pt idx="5">
                  <c:v>11.899776000000003</c:v>
                </c:pt>
                <c:pt idx="6">
                  <c:v>11.899776000000003</c:v>
                </c:pt>
                <c:pt idx="7">
                  <c:v>11.899776000000003</c:v>
                </c:pt>
                <c:pt idx="8">
                  <c:v>11.899776000000003</c:v>
                </c:pt>
                <c:pt idx="9">
                  <c:v>11.899776000000003</c:v>
                </c:pt>
                <c:pt idx="10">
                  <c:v>11.899776000000003</c:v>
                </c:pt>
                <c:pt idx="11">
                  <c:v>11.899776000000003</c:v>
                </c:pt>
                <c:pt idx="12">
                  <c:v>11.899776000000003</c:v>
                </c:pt>
                <c:pt idx="13">
                  <c:v>11.899776000000003</c:v>
                </c:pt>
                <c:pt idx="14">
                  <c:v>11.899776000000003</c:v>
                </c:pt>
                <c:pt idx="15">
                  <c:v>11.899776000000003</c:v>
                </c:pt>
                <c:pt idx="16">
                  <c:v>11.899776000000003</c:v>
                </c:pt>
                <c:pt idx="17">
                  <c:v>11.899776000000003</c:v>
                </c:pt>
                <c:pt idx="18">
                  <c:v>11.899776000000003</c:v>
                </c:pt>
                <c:pt idx="19">
                  <c:v>11.899776000000003</c:v>
                </c:pt>
                <c:pt idx="20">
                  <c:v>11.899776000000003</c:v>
                </c:pt>
                <c:pt idx="21">
                  <c:v>11.899776000000003</c:v>
                </c:pt>
                <c:pt idx="22">
                  <c:v>11.899776000000003</c:v>
                </c:pt>
                <c:pt idx="23">
                  <c:v>11.899776000000003</c:v>
                </c:pt>
                <c:pt idx="24">
                  <c:v>11.899776000000003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3段枝分れ実験によってサンプリングされた膜厚データ等'!$U$149:$U$173</c:f>
              <c:numCache>
                <c:formatCode>0.00</c:formatCode>
                <c:ptCount val="25"/>
                <c:pt idx="0">
                  <c:v>0.86822400000000022</c:v>
                </c:pt>
                <c:pt idx="1">
                  <c:v>0.86822400000000022</c:v>
                </c:pt>
                <c:pt idx="2">
                  <c:v>0.86822400000000022</c:v>
                </c:pt>
                <c:pt idx="3">
                  <c:v>0.86822400000000022</c:v>
                </c:pt>
                <c:pt idx="4">
                  <c:v>0.86822400000000022</c:v>
                </c:pt>
                <c:pt idx="5">
                  <c:v>0.86822400000000022</c:v>
                </c:pt>
                <c:pt idx="6">
                  <c:v>0.86822400000000022</c:v>
                </c:pt>
                <c:pt idx="7">
                  <c:v>0.86822400000000022</c:v>
                </c:pt>
                <c:pt idx="8">
                  <c:v>0.86822400000000022</c:v>
                </c:pt>
                <c:pt idx="9">
                  <c:v>0.86822400000000022</c:v>
                </c:pt>
                <c:pt idx="10">
                  <c:v>0.86822400000000022</c:v>
                </c:pt>
                <c:pt idx="11">
                  <c:v>0.86822400000000022</c:v>
                </c:pt>
                <c:pt idx="12">
                  <c:v>0.86822400000000022</c:v>
                </c:pt>
                <c:pt idx="13">
                  <c:v>0.86822400000000022</c:v>
                </c:pt>
                <c:pt idx="14">
                  <c:v>0.86822400000000022</c:v>
                </c:pt>
                <c:pt idx="15">
                  <c:v>0.86822400000000022</c:v>
                </c:pt>
                <c:pt idx="16">
                  <c:v>0.86822400000000022</c:v>
                </c:pt>
                <c:pt idx="17">
                  <c:v>0.86822400000000022</c:v>
                </c:pt>
                <c:pt idx="18">
                  <c:v>0.86822400000000022</c:v>
                </c:pt>
                <c:pt idx="19">
                  <c:v>0.86822400000000022</c:v>
                </c:pt>
                <c:pt idx="20">
                  <c:v>0.86822400000000022</c:v>
                </c:pt>
                <c:pt idx="21">
                  <c:v>0.86822400000000022</c:v>
                </c:pt>
                <c:pt idx="22">
                  <c:v>0.86822400000000022</c:v>
                </c:pt>
                <c:pt idx="23">
                  <c:v>0.86822400000000022</c:v>
                </c:pt>
                <c:pt idx="24">
                  <c:v>0.86822400000000022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26624"/>
        <c:axId val="130828160"/>
      </c:lineChart>
      <c:catAx>
        <c:axId val="13082662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0828160"/>
        <c:crosses val="autoZero"/>
        <c:auto val="0"/>
        <c:lblAlgn val="ctr"/>
        <c:lblOffset val="100"/>
        <c:noMultiLvlLbl val="0"/>
      </c:catAx>
      <c:valAx>
        <c:axId val="130828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08266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288730887940399E-2"/>
          <c:y val="3.29113924050633E-2"/>
          <c:w val="0.95475079198541302"/>
          <c:h val="0.90291996411840902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3段枝分れ実験によってサンプリングされた膜厚データ等'!$I$149:$I$173</c:f>
              <c:numCache>
                <c:formatCode>General</c:formatCode>
                <c:ptCount val="25"/>
                <c:pt idx="0">
                  <c:v>17.4375</c:v>
                </c:pt>
                <c:pt idx="1">
                  <c:v>15.637499999999999</c:v>
                </c:pt>
                <c:pt idx="2">
                  <c:v>15.875</c:v>
                </c:pt>
                <c:pt idx="3">
                  <c:v>17.175000000000001</c:v>
                </c:pt>
                <c:pt idx="4">
                  <c:v>15.799999999999999</c:v>
                </c:pt>
                <c:pt idx="5">
                  <c:v>14.95</c:v>
                </c:pt>
                <c:pt idx="6">
                  <c:v>15.487499999999999</c:v>
                </c:pt>
                <c:pt idx="7">
                  <c:v>14.65</c:v>
                </c:pt>
                <c:pt idx="8">
                  <c:v>15.149999999999999</c:v>
                </c:pt>
                <c:pt idx="9">
                  <c:v>15.9</c:v>
                </c:pt>
                <c:pt idx="10">
                  <c:v>15.874999999999998</c:v>
                </c:pt>
                <c:pt idx="11">
                  <c:v>16.05</c:v>
                </c:pt>
                <c:pt idx="12">
                  <c:v>15.737500000000001</c:v>
                </c:pt>
                <c:pt idx="13">
                  <c:v>15.225</c:v>
                </c:pt>
                <c:pt idx="14">
                  <c:v>16.024999999999999</c:v>
                </c:pt>
                <c:pt idx="15">
                  <c:v>13.975</c:v>
                </c:pt>
                <c:pt idx="16">
                  <c:v>15.525</c:v>
                </c:pt>
                <c:pt idx="17">
                  <c:v>15.262499999999999</c:v>
                </c:pt>
                <c:pt idx="18">
                  <c:v>14.424999999999999</c:v>
                </c:pt>
                <c:pt idx="19">
                  <c:v>15.8375</c:v>
                </c:pt>
                <c:pt idx="20">
                  <c:v>14.425000000000001</c:v>
                </c:pt>
                <c:pt idx="21">
                  <c:v>14.55</c:v>
                </c:pt>
                <c:pt idx="22">
                  <c:v>12.925000000000001</c:v>
                </c:pt>
                <c:pt idx="23" formatCode="0.00">
                  <c:v>13.699999999999998</c:v>
                </c:pt>
                <c:pt idx="24">
                  <c:v>14.337500000000002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3段枝分れ実験によってサンプリングされた膜厚データ等'!$J$149:$J$173</c:f>
              <c:numCache>
                <c:formatCode>0.000</c:formatCode>
                <c:ptCount val="25"/>
                <c:pt idx="0">
                  <c:v>15.2775</c:v>
                </c:pt>
                <c:pt idx="1">
                  <c:v>15.2775</c:v>
                </c:pt>
                <c:pt idx="2">
                  <c:v>15.2775</c:v>
                </c:pt>
                <c:pt idx="3">
                  <c:v>15.2775</c:v>
                </c:pt>
                <c:pt idx="4">
                  <c:v>15.2775</c:v>
                </c:pt>
                <c:pt idx="5">
                  <c:v>15.2775</c:v>
                </c:pt>
                <c:pt idx="6">
                  <c:v>15.2775</c:v>
                </c:pt>
                <c:pt idx="7">
                  <c:v>15.2775</c:v>
                </c:pt>
                <c:pt idx="8">
                  <c:v>15.2775</c:v>
                </c:pt>
                <c:pt idx="9">
                  <c:v>15.2775</c:v>
                </c:pt>
                <c:pt idx="10">
                  <c:v>15.2775</c:v>
                </c:pt>
                <c:pt idx="11">
                  <c:v>15.2775</c:v>
                </c:pt>
                <c:pt idx="12">
                  <c:v>15.2775</c:v>
                </c:pt>
                <c:pt idx="13">
                  <c:v>15.2775</c:v>
                </c:pt>
                <c:pt idx="14">
                  <c:v>15.2775</c:v>
                </c:pt>
                <c:pt idx="15">
                  <c:v>15.2775</c:v>
                </c:pt>
                <c:pt idx="16">
                  <c:v>15.2775</c:v>
                </c:pt>
                <c:pt idx="17">
                  <c:v>15.2775</c:v>
                </c:pt>
                <c:pt idx="18">
                  <c:v>15.2775</c:v>
                </c:pt>
                <c:pt idx="19">
                  <c:v>15.2775</c:v>
                </c:pt>
                <c:pt idx="20">
                  <c:v>15.2775</c:v>
                </c:pt>
                <c:pt idx="21">
                  <c:v>15.2775</c:v>
                </c:pt>
                <c:pt idx="22">
                  <c:v>15.2775</c:v>
                </c:pt>
                <c:pt idx="23">
                  <c:v>15.2775</c:v>
                </c:pt>
                <c:pt idx="24">
                  <c:v>15.2775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3段枝分れ実験によってサンプリングされた膜厚データ等'!$K$149:$K$173</c:f>
              <c:numCache>
                <c:formatCode>0.000</c:formatCode>
                <c:ptCount val="25"/>
                <c:pt idx="0">
                  <c:v>17.658732000000001</c:v>
                </c:pt>
                <c:pt idx="1">
                  <c:v>17.658732000000001</c:v>
                </c:pt>
                <c:pt idx="2">
                  <c:v>17.658732000000001</c:v>
                </c:pt>
                <c:pt idx="3">
                  <c:v>17.658732000000001</c:v>
                </c:pt>
                <c:pt idx="4">
                  <c:v>17.658732000000001</c:v>
                </c:pt>
                <c:pt idx="5">
                  <c:v>17.658732000000001</c:v>
                </c:pt>
                <c:pt idx="6">
                  <c:v>17.658732000000001</c:v>
                </c:pt>
                <c:pt idx="7">
                  <c:v>17.658732000000001</c:v>
                </c:pt>
                <c:pt idx="8">
                  <c:v>17.658732000000001</c:v>
                </c:pt>
                <c:pt idx="9">
                  <c:v>17.658732000000001</c:v>
                </c:pt>
                <c:pt idx="10">
                  <c:v>17.658732000000001</c:v>
                </c:pt>
                <c:pt idx="11">
                  <c:v>17.658732000000001</c:v>
                </c:pt>
                <c:pt idx="12">
                  <c:v>17.658732000000001</c:v>
                </c:pt>
                <c:pt idx="13">
                  <c:v>17.658732000000001</c:v>
                </c:pt>
                <c:pt idx="14">
                  <c:v>17.658732000000001</c:v>
                </c:pt>
                <c:pt idx="15">
                  <c:v>17.658732000000001</c:v>
                </c:pt>
                <c:pt idx="16">
                  <c:v>17.658732000000001</c:v>
                </c:pt>
                <c:pt idx="17">
                  <c:v>17.658732000000001</c:v>
                </c:pt>
                <c:pt idx="18">
                  <c:v>17.658732000000001</c:v>
                </c:pt>
                <c:pt idx="19">
                  <c:v>17.658732000000001</c:v>
                </c:pt>
                <c:pt idx="20">
                  <c:v>17.658732000000001</c:v>
                </c:pt>
                <c:pt idx="21">
                  <c:v>17.658732000000001</c:v>
                </c:pt>
                <c:pt idx="22">
                  <c:v>17.658732000000001</c:v>
                </c:pt>
                <c:pt idx="23">
                  <c:v>17.658732000000001</c:v>
                </c:pt>
                <c:pt idx="24">
                  <c:v>17.658732000000001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3段枝分れ実験によってサンプリングされた膜厚データ等'!$L$149:$L$173</c:f>
              <c:numCache>
                <c:formatCode>0.000</c:formatCode>
                <c:ptCount val="25"/>
                <c:pt idx="0">
                  <c:v>12.896267999999999</c:v>
                </c:pt>
                <c:pt idx="1">
                  <c:v>12.896267999999999</c:v>
                </c:pt>
                <c:pt idx="2">
                  <c:v>12.896267999999999</c:v>
                </c:pt>
                <c:pt idx="3">
                  <c:v>12.896267999999999</c:v>
                </c:pt>
                <c:pt idx="4">
                  <c:v>12.896267999999999</c:v>
                </c:pt>
                <c:pt idx="5">
                  <c:v>12.896267999999999</c:v>
                </c:pt>
                <c:pt idx="6">
                  <c:v>12.896267999999999</c:v>
                </c:pt>
                <c:pt idx="7">
                  <c:v>12.896267999999999</c:v>
                </c:pt>
                <c:pt idx="8">
                  <c:v>12.896267999999999</c:v>
                </c:pt>
                <c:pt idx="9">
                  <c:v>12.896267999999999</c:v>
                </c:pt>
                <c:pt idx="10">
                  <c:v>12.896267999999999</c:v>
                </c:pt>
                <c:pt idx="11">
                  <c:v>12.896267999999999</c:v>
                </c:pt>
                <c:pt idx="12">
                  <c:v>12.896267999999999</c:v>
                </c:pt>
                <c:pt idx="13">
                  <c:v>12.896267999999999</c:v>
                </c:pt>
                <c:pt idx="14">
                  <c:v>12.896267999999999</c:v>
                </c:pt>
                <c:pt idx="15">
                  <c:v>12.896267999999999</c:v>
                </c:pt>
                <c:pt idx="16">
                  <c:v>12.896267999999999</c:v>
                </c:pt>
                <c:pt idx="17">
                  <c:v>12.896267999999999</c:v>
                </c:pt>
                <c:pt idx="18">
                  <c:v>12.896267999999999</c:v>
                </c:pt>
                <c:pt idx="19">
                  <c:v>12.896267999999999</c:v>
                </c:pt>
                <c:pt idx="20">
                  <c:v>12.896267999999999</c:v>
                </c:pt>
                <c:pt idx="21">
                  <c:v>12.896267999999999</c:v>
                </c:pt>
                <c:pt idx="22">
                  <c:v>12.896267999999999</c:v>
                </c:pt>
                <c:pt idx="23">
                  <c:v>12.896267999999999</c:v>
                </c:pt>
                <c:pt idx="24">
                  <c:v>12.896267999999999</c:v>
                </c:pt>
              </c:numCache>
            </c:numRef>
          </c:val>
          <c:smooth val="0"/>
        </c:ser>
        <c:ser>
          <c:idx val="4"/>
          <c:order val="4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3段枝分れ実験によってサンプリングされた膜厚データ等'!$M$149:$M$173</c:f>
              <c:numCache>
                <c:formatCode>General</c:formatCode>
                <c:ptCount val="25"/>
                <c:pt idx="0">
                  <c:v>16.864988</c:v>
                </c:pt>
                <c:pt idx="1">
                  <c:v>16.864988</c:v>
                </c:pt>
                <c:pt idx="2">
                  <c:v>16.864988</c:v>
                </c:pt>
                <c:pt idx="3">
                  <c:v>16.864988</c:v>
                </c:pt>
                <c:pt idx="4">
                  <c:v>16.864988</c:v>
                </c:pt>
                <c:pt idx="5">
                  <c:v>16.864988</c:v>
                </c:pt>
                <c:pt idx="6">
                  <c:v>16.864988</c:v>
                </c:pt>
                <c:pt idx="7">
                  <c:v>16.864988</c:v>
                </c:pt>
                <c:pt idx="8">
                  <c:v>16.864988</c:v>
                </c:pt>
                <c:pt idx="9">
                  <c:v>16.864988</c:v>
                </c:pt>
                <c:pt idx="10">
                  <c:v>16.864988</c:v>
                </c:pt>
                <c:pt idx="11">
                  <c:v>16.864988</c:v>
                </c:pt>
                <c:pt idx="12">
                  <c:v>16.864988</c:v>
                </c:pt>
                <c:pt idx="13">
                  <c:v>16.864988</c:v>
                </c:pt>
                <c:pt idx="14">
                  <c:v>16.864988</c:v>
                </c:pt>
                <c:pt idx="15">
                  <c:v>16.864988</c:v>
                </c:pt>
                <c:pt idx="16">
                  <c:v>16.864988</c:v>
                </c:pt>
                <c:pt idx="17">
                  <c:v>16.864988</c:v>
                </c:pt>
                <c:pt idx="18">
                  <c:v>16.864988</c:v>
                </c:pt>
                <c:pt idx="19">
                  <c:v>16.864988</c:v>
                </c:pt>
                <c:pt idx="20">
                  <c:v>16.864988</c:v>
                </c:pt>
                <c:pt idx="21">
                  <c:v>16.864988</c:v>
                </c:pt>
                <c:pt idx="22">
                  <c:v>16.864988</c:v>
                </c:pt>
                <c:pt idx="23">
                  <c:v>16.864988</c:v>
                </c:pt>
                <c:pt idx="24">
                  <c:v>16.864988</c:v>
                </c:pt>
              </c:numCache>
            </c:numRef>
          </c:val>
          <c:smooth val="0"/>
        </c:ser>
        <c:ser>
          <c:idx val="5"/>
          <c:order val="5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3段枝分れ実験によってサンプリングされた膜厚データ等'!$N$149:$N$173</c:f>
              <c:numCache>
                <c:formatCode>General</c:formatCode>
                <c:ptCount val="25"/>
                <c:pt idx="0">
                  <c:v>16.071244</c:v>
                </c:pt>
                <c:pt idx="1">
                  <c:v>16.071244</c:v>
                </c:pt>
                <c:pt idx="2">
                  <c:v>16.071244</c:v>
                </c:pt>
                <c:pt idx="3">
                  <c:v>16.071244</c:v>
                </c:pt>
                <c:pt idx="4">
                  <c:v>16.071244</c:v>
                </c:pt>
                <c:pt idx="5">
                  <c:v>16.071244</c:v>
                </c:pt>
                <c:pt idx="6">
                  <c:v>16.071244</c:v>
                </c:pt>
                <c:pt idx="7">
                  <c:v>16.071244</c:v>
                </c:pt>
                <c:pt idx="8">
                  <c:v>16.071244</c:v>
                </c:pt>
                <c:pt idx="9">
                  <c:v>16.071244</c:v>
                </c:pt>
                <c:pt idx="10">
                  <c:v>16.071244</c:v>
                </c:pt>
                <c:pt idx="11">
                  <c:v>16.071244</c:v>
                </c:pt>
                <c:pt idx="12">
                  <c:v>16.071244</c:v>
                </c:pt>
                <c:pt idx="13">
                  <c:v>16.071244</c:v>
                </c:pt>
                <c:pt idx="14">
                  <c:v>16.071244</c:v>
                </c:pt>
                <c:pt idx="15">
                  <c:v>16.071244</c:v>
                </c:pt>
                <c:pt idx="16">
                  <c:v>16.071244</c:v>
                </c:pt>
                <c:pt idx="17">
                  <c:v>16.071244</c:v>
                </c:pt>
                <c:pt idx="18">
                  <c:v>16.071244</c:v>
                </c:pt>
                <c:pt idx="19">
                  <c:v>16.071244</c:v>
                </c:pt>
                <c:pt idx="20">
                  <c:v>16.071244</c:v>
                </c:pt>
                <c:pt idx="21">
                  <c:v>16.071244</c:v>
                </c:pt>
                <c:pt idx="22">
                  <c:v>16.071244</c:v>
                </c:pt>
                <c:pt idx="23">
                  <c:v>16.071244</c:v>
                </c:pt>
                <c:pt idx="24">
                  <c:v>16.071244</c:v>
                </c:pt>
              </c:numCache>
            </c:numRef>
          </c:val>
          <c:smooth val="0"/>
        </c:ser>
        <c:ser>
          <c:idx val="6"/>
          <c:order val="6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3段枝分れ実験によってサンプリングされた膜厚データ等'!$O$149:$O$173</c:f>
              <c:numCache>
                <c:formatCode>General</c:formatCode>
                <c:ptCount val="25"/>
                <c:pt idx="0">
                  <c:v>14.483756</c:v>
                </c:pt>
                <c:pt idx="1">
                  <c:v>14.483756</c:v>
                </c:pt>
                <c:pt idx="2">
                  <c:v>14.483756</c:v>
                </c:pt>
                <c:pt idx="3">
                  <c:v>14.483756</c:v>
                </c:pt>
                <c:pt idx="4">
                  <c:v>14.483756</c:v>
                </c:pt>
                <c:pt idx="5">
                  <c:v>14.483756</c:v>
                </c:pt>
                <c:pt idx="6">
                  <c:v>14.483756</c:v>
                </c:pt>
                <c:pt idx="7">
                  <c:v>14.483756</c:v>
                </c:pt>
                <c:pt idx="8">
                  <c:v>14.483756</c:v>
                </c:pt>
                <c:pt idx="9">
                  <c:v>14.483756</c:v>
                </c:pt>
                <c:pt idx="10">
                  <c:v>14.483756</c:v>
                </c:pt>
                <c:pt idx="11">
                  <c:v>14.483756</c:v>
                </c:pt>
                <c:pt idx="12">
                  <c:v>14.483756</c:v>
                </c:pt>
                <c:pt idx="13">
                  <c:v>14.483756</c:v>
                </c:pt>
                <c:pt idx="14">
                  <c:v>14.483756</c:v>
                </c:pt>
                <c:pt idx="15">
                  <c:v>14.483756</c:v>
                </c:pt>
                <c:pt idx="16">
                  <c:v>14.483756</c:v>
                </c:pt>
                <c:pt idx="17">
                  <c:v>14.483756</c:v>
                </c:pt>
                <c:pt idx="18">
                  <c:v>14.483756</c:v>
                </c:pt>
                <c:pt idx="19">
                  <c:v>14.483756</c:v>
                </c:pt>
                <c:pt idx="20">
                  <c:v>14.483756</c:v>
                </c:pt>
                <c:pt idx="21">
                  <c:v>14.483756</c:v>
                </c:pt>
                <c:pt idx="22">
                  <c:v>14.483756</c:v>
                </c:pt>
                <c:pt idx="23">
                  <c:v>14.483756</c:v>
                </c:pt>
                <c:pt idx="24">
                  <c:v>14.483756</c:v>
                </c:pt>
              </c:numCache>
            </c:numRef>
          </c:val>
          <c:smooth val="0"/>
        </c:ser>
        <c:ser>
          <c:idx val="7"/>
          <c:order val="7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3段枝分れ実験によってサンプリングされた膜厚データ等'!$P$149:$P$173</c:f>
              <c:numCache>
                <c:formatCode>General</c:formatCode>
                <c:ptCount val="25"/>
                <c:pt idx="0">
                  <c:v>13.690011999999999</c:v>
                </c:pt>
                <c:pt idx="1">
                  <c:v>13.690011999999999</c:v>
                </c:pt>
                <c:pt idx="2">
                  <c:v>13.690011999999999</c:v>
                </c:pt>
                <c:pt idx="3">
                  <c:v>13.690011999999999</c:v>
                </c:pt>
                <c:pt idx="4">
                  <c:v>13.690011999999999</c:v>
                </c:pt>
                <c:pt idx="5">
                  <c:v>13.690011999999999</c:v>
                </c:pt>
                <c:pt idx="6">
                  <c:v>13.690011999999999</c:v>
                </c:pt>
                <c:pt idx="7">
                  <c:v>13.690011999999999</c:v>
                </c:pt>
                <c:pt idx="8">
                  <c:v>13.690011999999999</c:v>
                </c:pt>
                <c:pt idx="9">
                  <c:v>13.690011999999999</c:v>
                </c:pt>
                <c:pt idx="10">
                  <c:v>13.690011999999999</c:v>
                </c:pt>
                <c:pt idx="11">
                  <c:v>13.690011999999999</c:v>
                </c:pt>
                <c:pt idx="12">
                  <c:v>13.690011999999999</c:v>
                </c:pt>
                <c:pt idx="13">
                  <c:v>13.690011999999999</c:v>
                </c:pt>
                <c:pt idx="14">
                  <c:v>13.690011999999999</c:v>
                </c:pt>
                <c:pt idx="15">
                  <c:v>13.690011999999999</c:v>
                </c:pt>
                <c:pt idx="16">
                  <c:v>13.690011999999999</c:v>
                </c:pt>
                <c:pt idx="17">
                  <c:v>13.690011999999999</c:v>
                </c:pt>
                <c:pt idx="18">
                  <c:v>13.690011999999999</c:v>
                </c:pt>
                <c:pt idx="19">
                  <c:v>13.690011999999999</c:v>
                </c:pt>
                <c:pt idx="20">
                  <c:v>13.690011999999999</c:v>
                </c:pt>
                <c:pt idx="21">
                  <c:v>13.690011999999999</c:v>
                </c:pt>
                <c:pt idx="22">
                  <c:v>13.690011999999999</c:v>
                </c:pt>
                <c:pt idx="23">
                  <c:v>13.690011999999999</c:v>
                </c:pt>
                <c:pt idx="24">
                  <c:v>13.690011999999999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3984"/>
        <c:axId val="131940736"/>
      </c:lineChart>
      <c:catAx>
        <c:axId val="13087398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1940736"/>
        <c:crosses val="autoZero"/>
        <c:auto val="0"/>
        <c:lblAlgn val="ctr"/>
        <c:lblOffset val="100"/>
        <c:noMultiLvlLbl val="0"/>
      </c:catAx>
      <c:valAx>
        <c:axId val="131940736"/>
        <c:scaling>
          <c:orientation val="minMax"/>
          <c:min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1308739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288730887940399E-2"/>
          <c:y val="3.29113924050633E-2"/>
          <c:w val="0.95475079198541302"/>
          <c:h val="0.90291996411840902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3段枝分れ実験によってサンプリングされた膜厚データ等'!$R$149:$R$173</c:f>
              <c:numCache>
                <c:formatCode>General</c:formatCode>
                <c:ptCount val="25"/>
                <c:pt idx="0">
                  <c:v>6.3000000000000007</c:v>
                </c:pt>
                <c:pt idx="1">
                  <c:v>3.5000000000000018</c:v>
                </c:pt>
                <c:pt idx="2">
                  <c:v>6.2000000000000011</c:v>
                </c:pt>
                <c:pt idx="3">
                  <c:v>3.8000000000000007</c:v>
                </c:pt>
                <c:pt idx="4">
                  <c:v>4.4000000000000004</c:v>
                </c:pt>
                <c:pt idx="5">
                  <c:v>6.7000000000000011</c:v>
                </c:pt>
                <c:pt idx="6">
                  <c:v>6.6999999999999993</c:v>
                </c:pt>
                <c:pt idx="7">
                  <c:v>4.2000000000000011</c:v>
                </c:pt>
                <c:pt idx="8">
                  <c:v>3.9000000000000004</c:v>
                </c:pt>
                <c:pt idx="9">
                  <c:v>5.2000000000000011</c:v>
                </c:pt>
                <c:pt idx="10">
                  <c:v>10.199999999999999</c:v>
                </c:pt>
                <c:pt idx="11">
                  <c:v>4.5999999999999996</c:v>
                </c:pt>
                <c:pt idx="12">
                  <c:v>3.6999999999999993</c:v>
                </c:pt>
                <c:pt idx="13">
                  <c:v>7.9</c:v>
                </c:pt>
                <c:pt idx="14">
                  <c:v>8.3999999999999986</c:v>
                </c:pt>
                <c:pt idx="15">
                  <c:v>8.3000000000000007</c:v>
                </c:pt>
                <c:pt idx="16">
                  <c:v>7.7000000000000011</c:v>
                </c:pt>
                <c:pt idx="17">
                  <c:v>6.6</c:v>
                </c:pt>
                <c:pt idx="18">
                  <c:v>4.0000000000000018</c:v>
                </c:pt>
                <c:pt idx="19">
                  <c:v>7.1999999999999993</c:v>
                </c:pt>
                <c:pt idx="20">
                  <c:v>7</c:v>
                </c:pt>
                <c:pt idx="21">
                  <c:v>12.200000000000001</c:v>
                </c:pt>
                <c:pt idx="22">
                  <c:v>5.9</c:v>
                </c:pt>
                <c:pt idx="23">
                  <c:v>10.299999999999999</c:v>
                </c:pt>
                <c:pt idx="24">
                  <c:v>4.6999999999999993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3段枝分れ実験によってサンプリングされた膜厚データ等'!$S$149:$S$173</c:f>
              <c:numCache>
                <c:formatCode>0.00</c:formatCode>
                <c:ptCount val="25"/>
                <c:pt idx="0">
                  <c:v>6.3840000000000012</c:v>
                </c:pt>
                <c:pt idx="1">
                  <c:v>6.3840000000000012</c:v>
                </c:pt>
                <c:pt idx="2">
                  <c:v>6.3840000000000012</c:v>
                </c:pt>
                <c:pt idx="3">
                  <c:v>6.3840000000000012</c:v>
                </c:pt>
                <c:pt idx="4">
                  <c:v>6.3840000000000012</c:v>
                </c:pt>
                <c:pt idx="5">
                  <c:v>6.3840000000000012</c:v>
                </c:pt>
                <c:pt idx="6">
                  <c:v>6.3840000000000012</c:v>
                </c:pt>
                <c:pt idx="7">
                  <c:v>6.3840000000000012</c:v>
                </c:pt>
                <c:pt idx="8">
                  <c:v>6.3840000000000012</c:v>
                </c:pt>
                <c:pt idx="9">
                  <c:v>6.3840000000000012</c:v>
                </c:pt>
                <c:pt idx="10">
                  <c:v>6.3840000000000012</c:v>
                </c:pt>
                <c:pt idx="11">
                  <c:v>6.3840000000000012</c:v>
                </c:pt>
                <c:pt idx="12">
                  <c:v>6.3840000000000012</c:v>
                </c:pt>
                <c:pt idx="13">
                  <c:v>6.3840000000000012</c:v>
                </c:pt>
                <c:pt idx="14">
                  <c:v>6.3840000000000012</c:v>
                </c:pt>
                <c:pt idx="15">
                  <c:v>6.3840000000000012</c:v>
                </c:pt>
                <c:pt idx="16">
                  <c:v>6.3840000000000012</c:v>
                </c:pt>
                <c:pt idx="17">
                  <c:v>6.3840000000000012</c:v>
                </c:pt>
                <c:pt idx="18">
                  <c:v>6.3840000000000012</c:v>
                </c:pt>
                <c:pt idx="19">
                  <c:v>6.3840000000000012</c:v>
                </c:pt>
                <c:pt idx="20">
                  <c:v>6.3840000000000012</c:v>
                </c:pt>
                <c:pt idx="21">
                  <c:v>6.3840000000000012</c:v>
                </c:pt>
                <c:pt idx="22">
                  <c:v>6.3840000000000012</c:v>
                </c:pt>
                <c:pt idx="23">
                  <c:v>6.3840000000000012</c:v>
                </c:pt>
                <c:pt idx="24">
                  <c:v>6.3840000000000012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3段枝分れ実験によってサンプリングされた膜厚データ等'!$T$149:$T$173</c:f>
              <c:numCache>
                <c:formatCode>0.00</c:formatCode>
                <c:ptCount val="25"/>
                <c:pt idx="0">
                  <c:v>11.899776000000003</c:v>
                </c:pt>
                <c:pt idx="1">
                  <c:v>11.899776000000003</c:v>
                </c:pt>
                <c:pt idx="2">
                  <c:v>11.899776000000003</c:v>
                </c:pt>
                <c:pt idx="3">
                  <c:v>11.899776000000003</c:v>
                </c:pt>
                <c:pt idx="4">
                  <c:v>11.899776000000003</c:v>
                </c:pt>
                <c:pt idx="5">
                  <c:v>11.899776000000003</c:v>
                </c:pt>
                <c:pt idx="6">
                  <c:v>11.899776000000003</c:v>
                </c:pt>
                <c:pt idx="7">
                  <c:v>11.899776000000003</c:v>
                </c:pt>
                <c:pt idx="8">
                  <c:v>11.899776000000003</c:v>
                </c:pt>
                <c:pt idx="9">
                  <c:v>11.899776000000003</c:v>
                </c:pt>
                <c:pt idx="10">
                  <c:v>11.899776000000003</c:v>
                </c:pt>
                <c:pt idx="11">
                  <c:v>11.899776000000003</c:v>
                </c:pt>
                <c:pt idx="12">
                  <c:v>11.899776000000003</c:v>
                </c:pt>
                <c:pt idx="13">
                  <c:v>11.899776000000003</c:v>
                </c:pt>
                <c:pt idx="14">
                  <c:v>11.899776000000003</c:v>
                </c:pt>
                <c:pt idx="15">
                  <c:v>11.899776000000003</c:v>
                </c:pt>
                <c:pt idx="16">
                  <c:v>11.899776000000003</c:v>
                </c:pt>
                <c:pt idx="17">
                  <c:v>11.899776000000003</c:v>
                </c:pt>
                <c:pt idx="18">
                  <c:v>11.899776000000003</c:v>
                </c:pt>
                <c:pt idx="19">
                  <c:v>11.899776000000003</c:v>
                </c:pt>
                <c:pt idx="20">
                  <c:v>11.899776000000003</c:v>
                </c:pt>
                <c:pt idx="21">
                  <c:v>11.899776000000003</c:v>
                </c:pt>
                <c:pt idx="22">
                  <c:v>11.899776000000003</c:v>
                </c:pt>
                <c:pt idx="23">
                  <c:v>11.899776000000003</c:v>
                </c:pt>
                <c:pt idx="24">
                  <c:v>11.899776000000003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3段枝分れ実験によってサンプリングされた膜厚データ等'!$U$149:$U$173</c:f>
              <c:numCache>
                <c:formatCode>0.00</c:formatCode>
                <c:ptCount val="25"/>
                <c:pt idx="0">
                  <c:v>0.86822400000000022</c:v>
                </c:pt>
                <c:pt idx="1">
                  <c:v>0.86822400000000022</c:v>
                </c:pt>
                <c:pt idx="2">
                  <c:v>0.86822400000000022</c:v>
                </c:pt>
                <c:pt idx="3">
                  <c:v>0.86822400000000022</c:v>
                </c:pt>
                <c:pt idx="4">
                  <c:v>0.86822400000000022</c:v>
                </c:pt>
                <c:pt idx="5">
                  <c:v>0.86822400000000022</c:v>
                </c:pt>
                <c:pt idx="6">
                  <c:v>0.86822400000000022</c:v>
                </c:pt>
                <c:pt idx="7">
                  <c:v>0.86822400000000022</c:v>
                </c:pt>
                <c:pt idx="8">
                  <c:v>0.86822400000000022</c:v>
                </c:pt>
                <c:pt idx="9">
                  <c:v>0.86822400000000022</c:v>
                </c:pt>
                <c:pt idx="10">
                  <c:v>0.86822400000000022</c:v>
                </c:pt>
                <c:pt idx="11">
                  <c:v>0.86822400000000022</c:v>
                </c:pt>
                <c:pt idx="12">
                  <c:v>0.86822400000000022</c:v>
                </c:pt>
                <c:pt idx="13">
                  <c:v>0.86822400000000022</c:v>
                </c:pt>
                <c:pt idx="14">
                  <c:v>0.86822400000000022</c:v>
                </c:pt>
                <c:pt idx="15">
                  <c:v>0.86822400000000022</c:v>
                </c:pt>
                <c:pt idx="16">
                  <c:v>0.86822400000000022</c:v>
                </c:pt>
                <c:pt idx="17">
                  <c:v>0.86822400000000022</c:v>
                </c:pt>
                <c:pt idx="18">
                  <c:v>0.86822400000000022</c:v>
                </c:pt>
                <c:pt idx="19">
                  <c:v>0.86822400000000022</c:v>
                </c:pt>
                <c:pt idx="20">
                  <c:v>0.86822400000000022</c:v>
                </c:pt>
                <c:pt idx="21">
                  <c:v>0.86822400000000022</c:v>
                </c:pt>
                <c:pt idx="22">
                  <c:v>0.86822400000000022</c:v>
                </c:pt>
                <c:pt idx="23">
                  <c:v>0.86822400000000022</c:v>
                </c:pt>
                <c:pt idx="24">
                  <c:v>0.86822400000000022</c:v>
                </c:pt>
              </c:numCache>
            </c:numRef>
          </c:val>
          <c:smooth val="0"/>
        </c:ser>
        <c:ser>
          <c:idx val="4"/>
          <c:order val="4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3段枝分れ実験によってサンプリングされた膜厚データ等'!$V$149:$V$173</c:f>
              <c:numCache>
                <c:formatCode>General</c:formatCode>
                <c:ptCount val="25"/>
                <c:pt idx="0">
                  <c:v>10.061184000000003</c:v>
                </c:pt>
                <c:pt idx="1">
                  <c:v>10.061184000000003</c:v>
                </c:pt>
                <c:pt idx="2">
                  <c:v>10.061184000000003</c:v>
                </c:pt>
                <c:pt idx="3">
                  <c:v>10.061184000000003</c:v>
                </c:pt>
                <c:pt idx="4">
                  <c:v>10.061184000000003</c:v>
                </c:pt>
                <c:pt idx="5">
                  <c:v>10.061184000000003</c:v>
                </c:pt>
                <c:pt idx="6">
                  <c:v>10.061184000000003</c:v>
                </c:pt>
                <c:pt idx="7">
                  <c:v>10.061184000000003</c:v>
                </c:pt>
                <c:pt idx="8">
                  <c:v>10.061184000000003</c:v>
                </c:pt>
                <c:pt idx="9">
                  <c:v>10.061184000000003</c:v>
                </c:pt>
                <c:pt idx="10">
                  <c:v>10.061184000000003</c:v>
                </c:pt>
                <c:pt idx="11">
                  <c:v>10.061184000000003</c:v>
                </c:pt>
                <c:pt idx="12">
                  <c:v>10.061184000000003</c:v>
                </c:pt>
                <c:pt idx="13">
                  <c:v>10.061184000000003</c:v>
                </c:pt>
                <c:pt idx="14">
                  <c:v>10.061184000000003</c:v>
                </c:pt>
                <c:pt idx="15">
                  <c:v>10.061184000000003</c:v>
                </c:pt>
                <c:pt idx="16">
                  <c:v>10.061184000000003</c:v>
                </c:pt>
                <c:pt idx="17">
                  <c:v>10.061184000000003</c:v>
                </c:pt>
                <c:pt idx="18">
                  <c:v>10.061184000000003</c:v>
                </c:pt>
                <c:pt idx="19">
                  <c:v>10.061184000000003</c:v>
                </c:pt>
                <c:pt idx="20">
                  <c:v>10.061184000000003</c:v>
                </c:pt>
                <c:pt idx="21">
                  <c:v>10.061184000000003</c:v>
                </c:pt>
                <c:pt idx="22">
                  <c:v>10.061184000000003</c:v>
                </c:pt>
                <c:pt idx="23">
                  <c:v>10.061184000000003</c:v>
                </c:pt>
                <c:pt idx="24">
                  <c:v>10.061184000000003</c:v>
                </c:pt>
              </c:numCache>
            </c:numRef>
          </c:val>
          <c:smooth val="0"/>
        </c:ser>
        <c:ser>
          <c:idx val="5"/>
          <c:order val="5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3段枝分れ実験によってサンプリングされた膜厚データ等'!$W$149:$W$173</c:f>
              <c:numCache>
                <c:formatCode>General</c:formatCode>
                <c:ptCount val="25"/>
                <c:pt idx="0">
                  <c:v>8.2225920000000023</c:v>
                </c:pt>
                <c:pt idx="1">
                  <c:v>8.2225920000000023</c:v>
                </c:pt>
                <c:pt idx="2">
                  <c:v>8.2225920000000023</c:v>
                </c:pt>
                <c:pt idx="3">
                  <c:v>8.2225920000000023</c:v>
                </c:pt>
                <c:pt idx="4">
                  <c:v>8.2225920000000023</c:v>
                </c:pt>
                <c:pt idx="5">
                  <c:v>8.2225920000000023</c:v>
                </c:pt>
                <c:pt idx="6">
                  <c:v>8.2225920000000023</c:v>
                </c:pt>
                <c:pt idx="7">
                  <c:v>8.2225920000000023</c:v>
                </c:pt>
                <c:pt idx="8">
                  <c:v>8.2225920000000023</c:v>
                </c:pt>
                <c:pt idx="9">
                  <c:v>8.2225920000000023</c:v>
                </c:pt>
                <c:pt idx="10">
                  <c:v>8.2225920000000023</c:v>
                </c:pt>
                <c:pt idx="11">
                  <c:v>8.2225920000000023</c:v>
                </c:pt>
                <c:pt idx="12">
                  <c:v>8.2225920000000023</c:v>
                </c:pt>
                <c:pt idx="13">
                  <c:v>8.2225920000000023</c:v>
                </c:pt>
                <c:pt idx="14">
                  <c:v>8.2225920000000023</c:v>
                </c:pt>
                <c:pt idx="15">
                  <c:v>8.2225920000000023</c:v>
                </c:pt>
                <c:pt idx="16">
                  <c:v>8.2225920000000023</c:v>
                </c:pt>
                <c:pt idx="17">
                  <c:v>8.2225920000000023</c:v>
                </c:pt>
                <c:pt idx="18">
                  <c:v>8.2225920000000023</c:v>
                </c:pt>
                <c:pt idx="19">
                  <c:v>8.2225920000000023</c:v>
                </c:pt>
                <c:pt idx="20">
                  <c:v>8.2225920000000023</c:v>
                </c:pt>
                <c:pt idx="21">
                  <c:v>8.2225920000000023</c:v>
                </c:pt>
                <c:pt idx="22">
                  <c:v>8.2225920000000023</c:v>
                </c:pt>
                <c:pt idx="23">
                  <c:v>8.2225920000000023</c:v>
                </c:pt>
                <c:pt idx="24">
                  <c:v>8.2225920000000023</c:v>
                </c:pt>
              </c:numCache>
            </c:numRef>
          </c:val>
          <c:smooth val="0"/>
        </c:ser>
        <c:ser>
          <c:idx val="6"/>
          <c:order val="6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3段枝分れ実験によってサンプリングされた膜厚データ等'!$X$149:$X$173</c:f>
              <c:numCache>
                <c:formatCode>General</c:formatCode>
                <c:ptCount val="25"/>
                <c:pt idx="0">
                  <c:v>4.545408000000001</c:v>
                </c:pt>
                <c:pt idx="1">
                  <c:v>4.545408000000001</c:v>
                </c:pt>
                <c:pt idx="2">
                  <c:v>4.545408000000001</c:v>
                </c:pt>
                <c:pt idx="3">
                  <c:v>4.545408000000001</c:v>
                </c:pt>
                <c:pt idx="4">
                  <c:v>4.545408000000001</c:v>
                </c:pt>
                <c:pt idx="5">
                  <c:v>4.545408000000001</c:v>
                </c:pt>
                <c:pt idx="6">
                  <c:v>4.545408000000001</c:v>
                </c:pt>
                <c:pt idx="7">
                  <c:v>4.545408000000001</c:v>
                </c:pt>
                <c:pt idx="8">
                  <c:v>4.545408000000001</c:v>
                </c:pt>
                <c:pt idx="9">
                  <c:v>4.545408000000001</c:v>
                </c:pt>
                <c:pt idx="10">
                  <c:v>4.545408000000001</c:v>
                </c:pt>
                <c:pt idx="11">
                  <c:v>4.545408000000001</c:v>
                </c:pt>
                <c:pt idx="12">
                  <c:v>4.545408000000001</c:v>
                </c:pt>
                <c:pt idx="13">
                  <c:v>4.545408000000001</c:v>
                </c:pt>
                <c:pt idx="14">
                  <c:v>4.545408000000001</c:v>
                </c:pt>
                <c:pt idx="15">
                  <c:v>4.545408000000001</c:v>
                </c:pt>
                <c:pt idx="16">
                  <c:v>4.545408000000001</c:v>
                </c:pt>
                <c:pt idx="17">
                  <c:v>4.545408000000001</c:v>
                </c:pt>
                <c:pt idx="18">
                  <c:v>4.545408000000001</c:v>
                </c:pt>
                <c:pt idx="19">
                  <c:v>4.545408000000001</c:v>
                </c:pt>
                <c:pt idx="20">
                  <c:v>4.545408000000001</c:v>
                </c:pt>
                <c:pt idx="21">
                  <c:v>4.545408000000001</c:v>
                </c:pt>
                <c:pt idx="22">
                  <c:v>4.545408000000001</c:v>
                </c:pt>
                <c:pt idx="23">
                  <c:v>4.545408000000001</c:v>
                </c:pt>
                <c:pt idx="24">
                  <c:v>4.545408000000001</c:v>
                </c:pt>
              </c:numCache>
            </c:numRef>
          </c:val>
          <c:smooth val="0"/>
        </c:ser>
        <c:ser>
          <c:idx val="7"/>
          <c:order val="7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3段枝分れ実験によってサンプリングされた膜厚データ等'!$Y$149:$Y$173</c:f>
              <c:numCache>
                <c:formatCode>General</c:formatCode>
                <c:ptCount val="25"/>
                <c:pt idx="0">
                  <c:v>2.7068160000000008</c:v>
                </c:pt>
                <c:pt idx="1">
                  <c:v>2.7068160000000008</c:v>
                </c:pt>
                <c:pt idx="2">
                  <c:v>2.7068160000000008</c:v>
                </c:pt>
                <c:pt idx="3">
                  <c:v>2.7068160000000008</c:v>
                </c:pt>
                <c:pt idx="4">
                  <c:v>2.7068160000000008</c:v>
                </c:pt>
                <c:pt idx="5">
                  <c:v>2.7068160000000008</c:v>
                </c:pt>
                <c:pt idx="6">
                  <c:v>2.7068160000000008</c:v>
                </c:pt>
                <c:pt idx="7">
                  <c:v>2.7068160000000008</c:v>
                </c:pt>
                <c:pt idx="8">
                  <c:v>2.7068160000000008</c:v>
                </c:pt>
                <c:pt idx="9">
                  <c:v>2.7068160000000008</c:v>
                </c:pt>
                <c:pt idx="10">
                  <c:v>2.7068160000000008</c:v>
                </c:pt>
                <c:pt idx="11">
                  <c:v>2.7068160000000008</c:v>
                </c:pt>
                <c:pt idx="12">
                  <c:v>2.7068160000000008</c:v>
                </c:pt>
                <c:pt idx="13">
                  <c:v>2.7068160000000008</c:v>
                </c:pt>
                <c:pt idx="14">
                  <c:v>2.7068160000000008</c:v>
                </c:pt>
                <c:pt idx="15">
                  <c:v>2.7068160000000008</c:v>
                </c:pt>
                <c:pt idx="16">
                  <c:v>2.7068160000000008</c:v>
                </c:pt>
                <c:pt idx="17">
                  <c:v>2.7068160000000008</c:v>
                </c:pt>
                <c:pt idx="18">
                  <c:v>2.7068160000000008</c:v>
                </c:pt>
                <c:pt idx="19">
                  <c:v>2.7068160000000008</c:v>
                </c:pt>
                <c:pt idx="20">
                  <c:v>2.7068160000000008</c:v>
                </c:pt>
                <c:pt idx="21">
                  <c:v>2.7068160000000008</c:v>
                </c:pt>
                <c:pt idx="22">
                  <c:v>2.7068160000000008</c:v>
                </c:pt>
                <c:pt idx="23">
                  <c:v>2.7068160000000008</c:v>
                </c:pt>
                <c:pt idx="24">
                  <c:v>2.7068160000000008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79136"/>
        <c:axId val="131980672"/>
      </c:lineChart>
      <c:catAx>
        <c:axId val="13197913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1980672"/>
        <c:crosses val="autoZero"/>
        <c:auto val="0"/>
        <c:lblAlgn val="ctr"/>
        <c:lblOffset val="100"/>
        <c:noMultiLvlLbl val="0"/>
      </c:catAx>
      <c:valAx>
        <c:axId val="131980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979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</c:spPr>
          <c:invertIfNegative val="0"/>
          <c:cat>
            <c:numRef>
              <c:f>'表3.2　3段枝分れ実験によってサンプリングされた膜厚データ等'!$N$41:$N$55</c:f>
              <c:numCache>
                <c:formatCode>0.00_ </c:formatCode>
                <c:ptCount val="15"/>
                <c:pt idx="0">
                  <c:v>7.55</c:v>
                </c:pt>
                <c:pt idx="1">
                  <c:v>8.5500000000000007</c:v>
                </c:pt>
                <c:pt idx="2">
                  <c:v>9.5500000000000007</c:v>
                </c:pt>
                <c:pt idx="3">
                  <c:v>10.55</c:v>
                </c:pt>
                <c:pt idx="4">
                  <c:v>11.55</c:v>
                </c:pt>
                <c:pt idx="5">
                  <c:v>12.55</c:v>
                </c:pt>
                <c:pt idx="6">
                  <c:v>13.55</c:v>
                </c:pt>
                <c:pt idx="7">
                  <c:v>14.55</c:v>
                </c:pt>
                <c:pt idx="8">
                  <c:v>15.55</c:v>
                </c:pt>
                <c:pt idx="9">
                  <c:v>16.55</c:v>
                </c:pt>
                <c:pt idx="10">
                  <c:v>17.55</c:v>
                </c:pt>
                <c:pt idx="11">
                  <c:v>18.55</c:v>
                </c:pt>
                <c:pt idx="12">
                  <c:v>19.55</c:v>
                </c:pt>
                <c:pt idx="13">
                  <c:v>20.55</c:v>
                </c:pt>
                <c:pt idx="14">
                  <c:v>21.55</c:v>
                </c:pt>
              </c:numCache>
            </c:numRef>
          </c:cat>
          <c:val>
            <c:numRef>
              <c:f>'表3.2　3段枝分れ実験によってサンプリングされた膜厚データ等'!$W$41:$W$55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6</c:v>
                </c:pt>
                <c:pt idx="6">
                  <c:v>22</c:v>
                </c:pt>
                <c:pt idx="7">
                  <c:v>23</c:v>
                </c:pt>
                <c:pt idx="8">
                  <c:v>21</c:v>
                </c:pt>
                <c:pt idx="9">
                  <c:v>17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2012288"/>
        <c:axId val="132014080"/>
      </c:barChart>
      <c:catAx>
        <c:axId val="132012288"/>
        <c:scaling>
          <c:orientation val="minMax"/>
        </c:scaling>
        <c:delete val="0"/>
        <c:axPos val="b"/>
        <c:numFmt formatCode="0.00_ " sourceLinked="1"/>
        <c:majorTickMark val="out"/>
        <c:minorTickMark val="none"/>
        <c:tickLblPos val="nextTo"/>
        <c:crossAx val="132014080"/>
        <c:crosses val="autoZero"/>
        <c:auto val="1"/>
        <c:lblAlgn val="ctr"/>
        <c:lblOffset val="100"/>
        <c:noMultiLvlLbl val="0"/>
      </c:catAx>
      <c:valAx>
        <c:axId val="132014080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sz="1200"/>
                </a:pPr>
                <a:r>
                  <a:rPr lang="ja-JP" altLang="en-US" sz="1200"/>
                  <a:t>度数</a:t>
                </a:r>
              </a:p>
            </c:rich>
          </c:tx>
          <c:layout>
            <c:manualLayout>
              <c:xMode val="edge"/>
              <c:yMode val="edge"/>
              <c:x val="1.7578125E-2"/>
              <c:y val="0.435860961458765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012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</c:spPr>
          <c:invertIfNegative val="0"/>
          <c:cat>
            <c:numRef>
              <c:f>'表3.2　3段枝分れ実験によってサンプリングされた膜厚データ等'!$N$41:$N$55</c:f>
              <c:numCache>
                <c:formatCode>0.00_ </c:formatCode>
                <c:ptCount val="15"/>
                <c:pt idx="0">
                  <c:v>7.55</c:v>
                </c:pt>
                <c:pt idx="1">
                  <c:v>8.5500000000000007</c:v>
                </c:pt>
                <c:pt idx="2">
                  <c:v>9.5500000000000007</c:v>
                </c:pt>
                <c:pt idx="3">
                  <c:v>10.55</c:v>
                </c:pt>
                <c:pt idx="4">
                  <c:v>11.55</c:v>
                </c:pt>
                <c:pt idx="5">
                  <c:v>12.55</c:v>
                </c:pt>
                <c:pt idx="6">
                  <c:v>13.55</c:v>
                </c:pt>
                <c:pt idx="7">
                  <c:v>14.55</c:v>
                </c:pt>
                <c:pt idx="8">
                  <c:v>15.55</c:v>
                </c:pt>
                <c:pt idx="9">
                  <c:v>16.55</c:v>
                </c:pt>
                <c:pt idx="10">
                  <c:v>17.55</c:v>
                </c:pt>
                <c:pt idx="11">
                  <c:v>18.55</c:v>
                </c:pt>
                <c:pt idx="12">
                  <c:v>19.55</c:v>
                </c:pt>
                <c:pt idx="13">
                  <c:v>20.55</c:v>
                </c:pt>
                <c:pt idx="14">
                  <c:v>21.55</c:v>
                </c:pt>
              </c:numCache>
            </c:numRef>
          </c:cat>
          <c:val>
            <c:numRef>
              <c:f>'表3.2　3段枝分れ実験によってサンプリングされた膜厚データ等'!$X$41:$X$55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7</c:v>
                </c:pt>
                <c:pt idx="5">
                  <c:v>17</c:v>
                </c:pt>
                <c:pt idx="6">
                  <c:v>10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2025728"/>
        <c:axId val="132039808"/>
      </c:barChart>
      <c:catAx>
        <c:axId val="132025728"/>
        <c:scaling>
          <c:orientation val="minMax"/>
        </c:scaling>
        <c:delete val="0"/>
        <c:axPos val="b"/>
        <c:numFmt formatCode="0.00_ " sourceLinked="1"/>
        <c:majorTickMark val="out"/>
        <c:minorTickMark val="none"/>
        <c:tickLblPos val="nextTo"/>
        <c:crossAx val="132039808"/>
        <c:crosses val="autoZero"/>
        <c:auto val="1"/>
        <c:lblAlgn val="ctr"/>
        <c:lblOffset val="100"/>
        <c:noMultiLvlLbl val="0"/>
      </c:catAx>
      <c:valAx>
        <c:axId val="132039808"/>
        <c:scaling>
          <c:orientation val="minMax"/>
          <c:max val="25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sz="1200"/>
                </a:pPr>
                <a:r>
                  <a:rPr lang="ja-JP" altLang="en-US" sz="1200"/>
                  <a:t>度数</a:t>
                </a:r>
              </a:p>
            </c:rich>
          </c:tx>
          <c:layout>
            <c:manualLayout>
              <c:xMode val="edge"/>
              <c:yMode val="edge"/>
              <c:x val="1.7578125E-2"/>
              <c:y val="0.435860961458765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025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24866048548694E-2"/>
          <c:y val="3.29113924050633E-2"/>
          <c:w val="0.89359048129338903"/>
          <c:h val="0.77566609917003604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3段枝分れ実験によってサンプリングされた膜厚データ等'!$AB$149:$AB$173</c:f>
              <c:numCache>
                <c:formatCode>0.00</c:formatCode>
                <c:ptCount val="25"/>
                <c:pt idx="0">
                  <c:v>17.55</c:v>
                </c:pt>
                <c:pt idx="1">
                  <c:v>16.55</c:v>
                </c:pt>
                <c:pt idx="2">
                  <c:v>16.925000000000001</c:v>
                </c:pt>
                <c:pt idx="3">
                  <c:v>16.324999999999999</c:v>
                </c:pt>
                <c:pt idx="4">
                  <c:v>16.775000000000002</c:v>
                </c:pt>
                <c:pt idx="5">
                  <c:v>15.749999999999998</c:v>
                </c:pt>
                <c:pt idx="6">
                  <c:v>16.05</c:v>
                </c:pt>
                <c:pt idx="7">
                  <c:v>15.875</c:v>
                </c:pt>
                <c:pt idx="8">
                  <c:v>15.4</c:v>
                </c:pt>
                <c:pt idx="9">
                  <c:v>15.525</c:v>
                </c:pt>
                <c:pt idx="10">
                  <c:v>15.5</c:v>
                </c:pt>
                <c:pt idx="11">
                  <c:v>16.25</c:v>
                </c:pt>
                <c:pt idx="12">
                  <c:v>15.75</c:v>
                </c:pt>
                <c:pt idx="13">
                  <c:v>15.074999999999999</c:v>
                </c:pt>
                <c:pt idx="14">
                  <c:v>14.975000000000001</c:v>
                </c:pt>
                <c:pt idx="15">
                  <c:v>15.074999999999999</c:v>
                </c:pt>
                <c:pt idx="16">
                  <c:v>14.350000000000001</c:v>
                </c:pt>
                <c:pt idx="17">
                  <c:v>14</c:v>
                </c:pt>
                <c:pt idx="18">
                  <c:v>14.275</c:v>
                </c:pt>
                <c:pt idx="19">
                  <c:v>13.85</c:v>
                </c:pt>
                <c:pt idx="20">
                  <c:v>13.625</c:v>
                </c:pt>
                <c:pt idx="21">
                  <c:v>13.25</c:v>
                </c:pt>
                <c:pt idx="22">
                  <c:v>13.6</c:v>
                </c:pt>
                <c:pt idx="23">
                  <c:v>13.074999999999999</c:v>
                </c:pt>
                <c:pt idx="24">
                  <c:v>12.95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3段枝分れ実験によってサンプリングされた膜厚データ等'!$AC$149:$AC$173</c:f>
              <c:numCache>
                <c:formatCode>0.000</c:formatCode>
                <c:ptCount val="25"/>
                <c:pt idx="0">
                  <c:v>15.132999999999999</c:v>
                </c:pt>
                <c:pt idx="1">
                  <c:v>15.132999999999999</c:v>
                </c:pt>
                <c:pt idx="2">
                  <c:v>15.132999999999999</c:v>
                </c:pt>
                <c:pt idx="3">
                  <c:v>15.132999999999999</c:v>
                </c:pt>
                <c:pt idx="4">
                  <c:v>15.132999999999999</c:v>
                </c:pt>
                <c:pt idx="5">
                  <c:v>15.132999999999999</c:v>
                </c:pt>
                <c:pt idx="6">
                  <c:v>15.132999999999999</c:v>
                </c:pt>
                <c:pt idx="7">
                  <c:v>15.132999999999999</c:v>
                </c:pt>
                <c:pt idx="8">
                  <c:v>15.132999999999999</c:v>
                </c:pt>
                <c:pt idx="9">
                  <c:v>15.132999999999999</c:v>
                </c:pt>
                <c:pt idx="10">
                  <c:v>15.132999999999999</c:v>
                </c:pt>
                <c:pt idx="11">
                  <c:v>15.132999999999999</c:v>
                </c:pt>
                <c:pt idx="12">
                  <c:v>15.132999999999999</c:v>
                </c:pt>
                <c:pt idx="13">
                  <c:v>15.132999999999999</c:v>
                </c:pt>
                <c:pt idx="14">
                  <c:v>15.132999999999999</c:v>
                </c:pt>
                <c:pt idx="15">
                  <c:v>15.132999999999999</c:v>
                </c:pt>
                <c:pt idx="16">
                  <c:v>15.132999999999999</c:v>
                </c:pt>
                <c:pt idx="17">
                  <c:v>15.132999999999999</c:v>
                </c:pt>
                <c:pt idx="18">
                  <c:v>15.132999999999999</c:v>
                </c:pt>
                <c:pt idx="19">
                  <c:v>15.132999999999999</c:v>
                </c:pt>
                <c:pt idx="20">
                  <c:v>15.132999999999999</c:v>
                </c:pt>
                <c:pt idx="21">
                  <c:v>15.132999999999999</c:v>
                </c:pt>
                <c:pt idx="22">
                  <c:v>15.132999999999999</c:v>
                </c:pt>
                <c:pt idx="23">
                  <c:v>15.132999999999999</c:v>
                </c:pt>
                <c:pt idx="24">
                  <c:v>15.132999999999999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3段枝分れ実験によってサンプリングされた膜厚データ等'!$AD$149:$AD$173</c:f>
              <c:numCache>
                <c:formatCode>0.000</c:formatCode>
                <c:ptCount val="25"/>
                <c:pt idx="0">
                  <c:v>16.582252</c:v>
                </c:pt>
                <c:pt idx="1">
                  <c:v>16.582252</c:v>
                </c:pt>
                <c:pt idx="2">
                  <c:v>16.582252</c:v>
                </c:pt>
                <c:pt idx="3">
                  <c:v>16.582252</c:v>
                </c:pt>
                <c:pt idx="4">
                  <c:v>16.582252</c:v>
                </c:pt>
                <c:pt idx="5">
                  <c:v>16.582252</c:v>
                </c:pt>
                <c:pt idx="6">
                  <c:v>16.582252</c:v>
                </c:pt>
                <c:pt idx="7">
                  <c:v>16.582252</c:v>
                </c:pt>
                <c:pt idx="8">
                  <c:v>16.582252</c:v>
                </c:pt>
                <c:pt idx="9">
                  <c:v>16.582252</c:v>
                </c:pt>
                <c:pt idx="10">
                  <c:v>16.582252</c:v>
                </c:pt>
                <c:pt idx="11">
                  <c:v>16.582252</c:v>
                </c:pt>
                <c:pt idx="12">
                  <c:v>16.582252</c:v>
                </c:pt>
                <c:pt idx="13">
                  <c:v>16.582252</c:v>
                </c:pt>
                <c:pt idx="14">
                  <c:v>16.582252</c:v>
                </c:pt>
                <c:pt idx="15">
                  <c:v>16.582252</c:v>
                </c:pt>
                <c:pt idx="16">
                  <c:v>16.582252</c:v>
                </c:pt>
                <c:pt idx="17">
                  <c:v>16.582252</c:v>
                </c:pt>
                <c:pt idx="18">
                  <c:v>16.582252</c:v>
                </c:pt>
                <c:pt idx="19">
                  <c:v>16.582252</c:v>
                </c:pt>
                <c:pt idx="20">
                  <c:v>16.582252</c:v>
                </c:pt>
                <c:pt idx="21">
                  <c:v>16.582252</c:v>
                </c:pt>
                <c:pt idx="22">
                  <c:v>16.582252</c:v>
                </c:pt>
                <c:pt idx="23">
                  <c:v>16.582252</c:v>
                </c:pt>
                <c:pt idx="24">
                  <c:v>16.582252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3段枝分れ実験によってサンプリングされた膜厚データ等'!$AE$149:$AE$173</c:f>
              <c:numCache>
                <c:formatCode>0.000</c:formatCode>
                <c:ptCount val="25"/>
                <c:pt idx="0">
                  <c:v>13.683748</c:v>
                </c:pt>
                <c:pt idx="1">
                  <c:v>13.683748</c:v>
                </c:pt>
                <c:pt idx="2">
                  <c:v>13.683748</c:v>
                </c:pt>
                <c:pt idx="3">
                  <c:v>13.683748</c:v>
                </c:pt>
                <c:pt idx="4">
                  <c:v>13.683748</c:v>
                </c:pt>
                <c:pt idx="5">
                  <c:v>13.683748</c:v>
                </c:pt>
                <c:pt idx="6">
                  <c:v>13.683748</c:v>
                </c:pt>
                <c:pt idx="7">
                  <c:v>13.683748</c:v>
                </c:pt>
                <c:pt idx="8">
                  <c:v>13.683748</c:v>
                </c:pt>
                <c:pt idx="9">
                  <c:v>13.683748</c:v>
                </c:pt>
                <c:pt idx="10">
                  <c:v>13.683748</c:v>
                </c:pt>
                <c:pt idx="11">
                  <c:v>13.683748</c:v>
                </c:pt>
                <c:pt idx="12">
                  <c:v>13.683748</c:v>
                </c:pt>
                <c:pt idx="13">
                  <c:v>13.683748</c:v>
                </c:pt>
                <c:pt idx="14">
                  <c:v>13.683748</c:v>
                </c:pt>
                <c:pt idx="15">
                  <c:v>13.683748</c:v>
                </c:pt>
                <c:pt idx="16">
                  <c:v>13.683748</c:v>
                </c:pt>
                <c:pt idx="17">
                  <c:v>13.683748</c:v>
                </c:pt>
                <c:pt idx="18">
                  <c:v>13.683748</c:v>
                </c:pt>
                <c:pt idx="19">
                  <c:v>13.683748</c:v>
                </c:pt>
                <c:pt idx="20">
                  <c:v>13.683748</c:v>
                </c:pt>
                <c:pt idx="21">
                  <c:v>13.683748</c:v>
                </c:pt>
                <c:pt idx="22">
                  <c:v>13.683748</c:v>
                </c:pt>
                <c:pt idx="23">
                  <c:v>13.683748</c:v>
                </c:pt>
                <c:pt idx="24">
                  <c:v>13.683748</c:v>
                </c:pt>
              </c:numCache>
            </c:numRef>
          </c:val>
          <c:smooth val="0"/>
        </c:ser>
        <c:ser>
          <c:idx val="4"/>
          <c:order val="4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3段枝分れ実験によってサンプリングされた膜厚データ等'!$AF$149:$AF$173</c:f>
              <c:numCache>
                <c:formatCode>General</c:formatCode>
                <c:ptCount val="25"/>
                <c:pt idx="0">
                  <c:v>16.099167999999999</c:v>
                </c:pt>
                <c:pt idx="1">
                  <c:v>16.099167999999999</c:v>
                </c:pt>
                <c:pt idx="2">
                  <c:v>16.099167999999999</c:v>
                </c:pt>
                <c:pt idx="3">
                  <c:v>16.099167999999999</c:v>
                </c:pt>
                <c:pt idx="4">
                  <c:v>16.099167999999999</c:v>
                </c:pt>
                <c:pt idx="5">
                  <c:v>16.099167999999999</c:v>
                </c:pt>
                <c:pt idx="6">
                  <c:v>16.099167999999999</c:v>
                </c:pt>
                <c:pt idx="7">
                  <c:v>16.099167999999999</c:v>
                </c:pt>
                <c:pt idx="8">
                  <c:v>16.099167999999999</c:v>
                </c:pt>
                <c:pt idx="9">
                  <c:v>16.099167999999999</c:v>
                </c:pt>
                <c:pt idx="10">
                  <c:v>16.099167999999999</c:v>
                </c:pt>
                <c:pt idx="11">
                  <c:v>16.099167999999999</c:v>
                </c:pt>
                <c:pt idx="12">
                  <c:v>16.099167999999999</c:v>
                </c:pt>
                <c:pt idx="13">
                  <c:v>16.099167999999999</c:v>
                </c:pt>
                <c:pt idx="14">
                  <c:v>16.099167999999999</c:v>
                </c:pt>
                <c:pt idx="15">
                  <c:v>16.099167999999999</c:v>
                </c:pt>
                <c:pt idx="16">
                  <c:v>16.099167999999999</c:v>
                </c:pt>
                <c:pt idx="17">
                  <c:v>16.099167999999999</c:v>
                </c:pt>
                <c:pt idx="18">
                  <c:v>16.099167999999999</c:v>
                </c:pt>
                <c:pt idx="19">
                  <c:v>16.099167999999999</c:v>
                </c:pt>
                <c:pt idx="20">
                  <c:v>16.099167999999999</c:v>
                </c:pt>
                <c:pt idx="21">
                  <c:v>16.099167999999999</c:v>
                </c:pt>
                <c:pt idx="22">
                  <c:v>16.099167999999999</c:v>
                </c:pt>
                <c:pt idx="23">
                  <c:v>16.099167999999999</c:v>
                </c:pt>
                <c:pt idx="24">
                  <c:v>16.099167999999999</c:v>
                </c:pt>
              </c:numCache>
            </c:numRef>
          </c:val>
          <c:smooth val="0"/>
        </c:ser>
        <c:ser>
          <c:idx val="5"/>
          <c:order val="5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3段枝分れ実験によってサンプリングされた膜厚データ等'!$AG$149:$AG$173</c:f>
              <c:numCache>
                <c:formatCode>General</c:formatCode>
                <c:ptCount val="25"/>
                <c:pt idx="0">
                  <c:v>15.616083999999999</c:v>
                </c:pt>
                <c:pt idx="1">
                  <c:v>15.616083999999999</c:v>
                </c:pt>
                <c:pt idx="2">
                  <c:v>15.616083999999999</c:v>
                </c:pt>
                <c:pt idx="3">
                  <c:v>15.616083999999999</c:v>
                </c:pt>
                <c:pt idx="4">
                  <c:v>15.616083999999999</c:v>
                </c:pt>
                <c:pt idx="5">
                  <c:v>15.616083999999999</c:v>
                </c:pt>
                <c:pt idx="6">
                  <c:v>15.616083999999999</c:v>
                </c:pt>
                <c:pt idx="7">
                  <c:v>15.616083999999999</c:v>
                </c:pt>
                <c:pt idx="8">
                  <c:v>15.616083999999999</c:v>
                </c:pt>
                <c:pt idx="9">
                  <c:v>15.616083999999999</c:v>
                </c:pt>
                <c:pt idx="10">
                  <c:v>15.616083999999999</c:v>
                </c:pt>
                <c:pt idx="11">
                  <c:v>15.616083999999999</c:v>
                </c:pt>
                <c:pt idx="12">
                  <c:v>15.616083999999999</c:v>
                </c:pt>
                <c:pt idx="13">
                  <c:v>15.616083999999999</c:v>
                </c:pt>
                <c:pt idx="14">
                  <c:v>15.616083999999999</c:v>
                </c:pt>
                <c:pt idx="15">
                  <c:v>15.616083999999999</c:v>
                </c:pt>
                <c:pt idx="16">
                  <c:v>15.616083999999999</c:v>
                </c:pt>
                <c:pt idx="17">
                  <c:v>15.616083999999999</c:v>
                </c:pt>
                <c:pt idx="18">
                  <c:v>15.616083999999999</c:v>
                </c:pt>
                <c:pt idx="19">
                  <c:v>15.616083999999999</c:v>
                </c:pt>
                <c:pt idx="20">
                  <c:v>15.616083999999999</c:v>
                </c:pt>
                <c:pt idx="21">
                  <c:v>15.616083999999999</c:v>
                </c:pt>
                <c:pt idx="22">
                  <c:v>15.616083999999999</c:v>
                </c:pt>
                <c:pt idx="23">
                  <c:v>15.616083999999999</c:v>
                </c:pt>
                <c:pt idx="24">
                  <c:v>15.616083999999999</c:v>
                </c:pt>
              </c:numCache>
            </c:numRef>
          </c:val>
          <c:smooth val="0"/>
        </c:ser>
        <c:ser>
          <c:idx val="6"/>
          <c:order val="6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3段枝分れ実験によってサンプリングされた膜厚データ等'!$AH$149:$AH$173</c:f>
              <c:numCache>
                <c:formatCode>General</c:formatCode>
                <c:ptCount val="25"/>
                <c:pt idx="0">
                  <c:v>14.649915999999999</c:v>
                </c:pt>
                <c:pt idx="1">
                  <c:v>14.649915999999999</c:v>
                </c:pt>
                <c:pt idx="2">
                  <c:v>14.649915999999999</c:v>
                </c:pt>
                <c:pt idx="3">
                  <c:v>14.649915999999999</c:v>
                </c:pt>
                <c:pt idx="4">
                  <c:v>14.649915999999999</c:v>
                </c:pt>
                <c:pt idx="5">
                  <c:v>14.649915999999999</c:v>
                </c:pt>
                <c:pt idx="6">
                  <c:v>14.649915999999999</c:v>
                </c:pt>
                <c:pt idx="7">
                  <c:v>14.649915999999999</c:v>
                </c:pt>
                <c:pt idx="8">
                  <c:v>14.649915999999999</c:v>
                </c:pt>
                <c:pt idx="9">
                  <c:v>14.649915999999999</c:v>
                </c:pt>
                <c:pt idx="10">
                  <c:v>14.649915999999999</c:v>
                </c:pt>
                <c:pt idx="11">
                  <c:v>14.649915999999999</c:v>
                </c:pt>
                <c:pt idx="12">
                  <c:v>14.649915999999999</c:v>
                </c:pt>
                <c:pt idx="13">
                  <c:v>14.649915999999999</c:v>
                </c:pt>
                <c:pt idx="14">
                  <c:v>14.649915999999999</c:v>
                </c:pt>
                <c:pt idx="15">
                  <c:v>14.649915999999999</c:v>
                </c:pt>
                <c:pt idx="16">
                  <c:v>14.649915999999999</c:v>
                </c:pt>
                <c:pt idx="17">
                  <c:v>14.649915999999999</c:v>
                </c:pt>
                <c:pt idx="18">
                  <c:v>14.649915999999999</c:v>
                </c:pt>
                <c:pt idx="19">
                  <c:v>14.649915999999999</c:v>
                </c:pt>
                <c:pt idx="20">
                  <c:v>14.649915999999999</c:v>
                </c:pt>
                <c:pt idx="21">
                  <c:v>14.649915999999999</c:v>
                </c:pt>
                <c:pt idx="22">
                  <c:v>14.649915999999999</c:v>
                </c:pt>
                <c:pt idx="23">
                  <c:v>14.649915999999999</c:v>
                </c:pt>
                <c:pt idx="24">
                  <c:v>14.649915999999999</c:v>
                </c:pt>
              </c:numCache>
            </c:numRef>
          </c:val>
          <c:smooth val="0"/>
        </c:ser>
        <c:ser>
          <c:idx val="7"/>
          <c:order val="7"/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3段枝分れ実験によってサンプリングされた膜厚データ等'!$AI$149:$AI$173</c:f>
              <c:numCache>
                <c:formatCode>General</c:formatCode>
                <c:ptCount val="25"/>
                <c:pt idx="0">
                  <c:v>14.166831999999999</c:v>
                </c:pt>
                <c:pt idx="1">
                  <c:v>14.166831999999999</c:v>
                </c:pt>
                <c:pt idx="2">
                  <c:v>14.166831999999999</c:v>
                </c:pt>
                <c:pt idx="3">
                  <c:v>14.166831999999999</c:v>
                </c:pt>
                <c:pt idx="4">
                  <c:v>14.166831999999999</c:v>
                </c:pt>
                <c:pt idx="5">
                  <c:v>14.166831999999999</c:v>
                </c:pt>
                <c:pt idx="6">
                  <c:v>14.166831999999999</c:v>
                </c:pt>
                <c:pt idx="7">
                  <c:v>14.166831999999999</c:v>
                </c:pt>
                <c:pt idx="8">
                  <c:v>14.166831999999999</c:v>
                </c:pt>
                <c:pt idx="9">
                  <c:v>14.166831999999999</c:v>
                </c:pt>
                <c:pt idx="10">
                  <c:v>14.166831999999999</c:v>
                </c:pt>
                <c:pt idx="11">
                  <c:v>14.166831999999999</c:v>
                </c:pt>
                <c:pt idx="12">
                  <c:v>14.166831999999999</c:v>
                </c:pt>
                <c:pt idx="13">
                  <c:v>14.166831999999999</c:v>
                </c:pt>
                <c:pt idx="14">
                  <c:v>14.166831999999999</c:v>
                </c:pt>
                <c:pt idx="15">
                  <c:v>14.166831999999999</c:v>
                </c:pt>
                <c:pt idx="16">
                  <c:v>14.166831999999999</c:v>
                </c:pt>
                <c:pt idx="17">
                  <c:v>14.166831999999999</c:v>
                </c:pt>
                <c:pt idx="18">
                  <c:v>14.166831999999999</c:v>
                </c:pt>
                <c:pt idx="19">
                  <c:v>14.166831999999999</c:v>
                </c:pt>
                <c:pt idx="20">
                  <c:v>14.166831999999999</c:v>
                </c:pt>
                <c:pt idx="21">
                  <c:v>14.166831999999999</c:v>
                </c:pt>
                <c:pt idx="22">
                  <c:v>14.166831999999999</c:v>
                </c:pt>
                <c:pt idx="23">
                  <c:v>14.166831999999999</c:v>
                </c:pt>
                <c:pt idx="24">
                  <c:v>14.166831999999999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09888"/>
        <c:axId val="135511424"/>
      </c:lineChart>
      <c:catAx>
        <c:axId val="135509888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35511424"/>
        <c:crosses val="autoZero"/>
        <c:auto val="0"/>
        <c:lblAlgn val="ctr"/>
        <c:lblOffset val="100"/>
        <c:noMultiLvlLbl val="0"/>
      </c:catAx>
      <c:valAx>
        <c:axId val="135511424"/>
        <c:scaling>
          <c:orientation val="minMax"/>
          <c:max val="22"/>
          <c:min val="10"/>
        </c:scaling>
        <c:delete val="0"/>
        <c:axPos val="l"/>
        <c:numFmt formatCode="#,##0.00_);[Red]\(#,##0.00\)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355098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340451879716794E-2"/>
          <c:y val="3.29113924050633E-2"/>
          <c:w val="0.89640435524194495"/>
          <c:h val="0.79045784170595701"/>
        </c:manualLayout>
      </c:layout>
      <c:lineChart>
        <c:grouping val="standard"/>
        <c:varyColors val="0"/>
        <c:ser>
          <c:idx val="0"/>
          <c:order val="0"/>
          <c:spPr>
            <a:ln w="19050" cmpd="sng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3段枝分れ実験によってサンプリングされた膜厚データ等'!$AK$149:$AK$173</c:f>
              <c:numCache>
                <c:formatCode>General</c:formatCode>
                <c:ptCount val="25"/>
                <c:pt idx="0">
                  <c:v>0.89999999999999858</c:v>
                </c:pt>
                <c:pt idx="1">
                  <c:v>1.4000000000000021</c:v>
                </c:pt>
                <c:pt idx="2">
                  <c:v>3.7999999999999989</c:v>
                </c:pt>
                <c:pt idx="3">
                  <c:v>2.8000000000000007</c:v>
                </c:pt>
                <c:pt idx="4">
                  <c:v>1.6999999999999993</c:v>
                </c:pt>
                <c:pt idx="5">
                  <c:v>2.4999999999999982</c:v>
                </c:pt>
                <c:pt idx="6">
                  <c:v>2.2000000000000011</c:v>
                </c:pt>
                <c:pt idx="7">
                  <c:v>1.7000000000000011</c:v>
                </c:pt>
                <c:pt idx="8">
                  <c:v>1.6999999999999993</c:v>
                </c:pt>
                <c:pt idx="9">
                  <c:v>2.2000000000000011</c:v>
                </c:pt>
                <c:pt idx="10">
                  <c:v>1.0999999999999996</c:v>
                </c:pt>
                <c:pt idx="11">
                  <c:v>2.1999999999999993</c:v>
                </c:pt>
                <c:pt idx="12">
                  <c:v>1.7999999999999989</c:v>
                </c:pt>
                <c:pt idx="13">
                  <c:v>2</c:v>
                </c:pt>
                <c:pt idx="14">
                  <c:v>1.8000000000000007</c:v>
                </c:pt>
                <c:pt idx="15">
                  <c:v>2</c:v>
                </c:pt>
                <c:pt idx="16">
                  <c:v>1.4000000000000004</c:v>
                </c:pt>
                <c:pt idx="17">
                  <c:v>2.6999999999999993</c:v>
                </c:pt>
                <c:pt idx="18">
                  <c:v>1.3000000000000007</c:v>
                </c:pt>
                <c:pt idx="19">
                  <c:v>0.90000000000000036</c:v>
                </c:pt>
                <c:pt idx="20">
                  <c:v>1.9000000000000004</c:v>
                </c:pt>
                <c:pt idx="21">
                  <c:v>1.5</c:v>
                </c:pt>
                <c:pt idx="22">
                  <c:v>3.0999999999999996</c:v>
                </c:pt>
                <c:pt idx="23">
                  <c:v>3.1000000000000014</c:v>
                </c:pt>
                <c:pt idx="24">
                  <c:v>2</c:v>
                </c:pt>
              </c:numCache>
            </c:numRef>
          </c:val>
          <c:smooth val="0"/>
        </c:ser>
        <c:ser>
          <c:idx val="1"/>
          <c:order val="1"/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3段枝分れ実験によってサンプリングされた膜厚データ等'!$AL$149:$AL$173</c:f>
              <c:numCache>
                <c:formatCode>0.00</c:formatCode>
                <c:ptCount val="25"/>
                <c:pt idx="0">
                  <c:v>1.9880000000000002</c:v>
                </c:pt>
                <c:pt idx="1">
                  <c:v>1.9880000000000002</c:v>
                </c:pt>
                <c:pt idx="2">
                  <c:v>1.9880000000000002</c:v>
                </c:pt>
                <c:pt idx="3">
                  <c:v>1.9880000000000002</c:v>
                </c:pt>
                <c:pt idx="4">
                  <c:v>1.9880000000000002</c:v>
                </c:pt>
                <c:pt idx="5">
                  <c:v>1.9880000000000002</c:v>
                </c:pt>
                <c:pt idx="6">
                  <c:v>1.9880000000000002</c:v>
                </c:pt>
                <c:pt idx="7">
                  <c:v>1.9880000000000002</c:v>
                </c:pt>
                <c:pt idx="8">
                  <c:v>1.9880000000000002</c:v>
                </c:pt>
                <c:pt idx="9">
                  <c:v>1.9880000000000002</c:v>
                </c:pt>
                <c:pt idx="10">
                  <c:v>1.9880000000000002</c:v>
                </c:pt>
                <c:pt idx="11">
                  <c:v>1.9880000000000002</c:v>
                </c:pt>
                <c:pt idx="12">
                  <c:v>1.9880000000000002</c:v>
                </c:pt>
                <c:pt idx="13">
                  <c:v>1.9880000000000002</c:v>
                </c:pt>
                <c:pt idx="14">
                  <c:v>1.9880000000000002</c:v>
                </c:pt>
                <c:pt idx="15">
                  <c:v>1.9880000000000002</c:v>
                </c:pt>
                <c:pt idx="16">
                  <c:v>1.9880000000000002</c:v>
                </c:pt>
                <c:pt idx="17">
                  <c:v>1.9880000000000002</c:v>
                </c:pt>
                <c:pt idx="18">
                  <c:v>1.9880000000000002</c:v>
                </c:pt>
                <c:pt idx="19">
                  <c:v>1.9880000000000002</c:v>
                </c:pt>
                <c:pt idx="20">
                  <c:v>1.9880000000000002</c:v>
                </c:pt>
                <c:pt idx="21">
                  <c:v>1.9880000000000002</c:v>
                </c:pt>
                <c:pt idx="22">
                  <c:v>1.9880000000000002</c:v>
                </c:pt>
                <c:pt idx="23">
                  <c:v>1.9880000000000002</c:v>
                </c:pt>
                <c:pt idx="24">
                  <c:v>1.9880000000000002</c:v>
                </c:pt>
              </c:numCache>
            </c:numRef>
          </c:val>
          <c:smooth val="0"/>
        </c:ser>
        <c:ser>
          <c:idx val="2"/>
          <c:order val="2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3段枝分れ実験によってサンプリングされた膜厚データ等'!$AM$149:$AM$173</c:f>
              <c:numCache>
                <c:formatCode>0.00</c:formatCode>
                <c:ptCount val="25"/>
                <c:pt idx="0">
                  <c:v>4.5326399999999998</c:v>
                </c:pt>
                <c:pt idx="1">
                  <c:v>4.5326399999999998</c:v>
                </c:pt>
                <c:pt idx="2">
                  <c:v>4.5326399999999998</c:v>
                </c:pt>
                <c:pt idx="3">
                  <c:v>4.5326399999999998</c:v>
                </c:pt>
                <c:pt idx="4">
                  <c:v>4.5326399999999998</c:v>
                </c:pt>
                <c:pt idx="5">
                  <c:v>4.5326399999999998</c:v>
                </c:pt>
                <c:pt idx="6">
                  <c:v>4.5326399999999998</c:v>
                </c:pt>
                <c:pt idx="7">
                  <c:v>4.5326399999999998</c:v>
                </c:pt>
                <c:pt idx="8">
                  <c:v>4.5326399999999998</c:v>
                </c:pt>
                <c:pt idx="9">
                  <c:v>4.5326399999999998</c:v>
                </c:pt>
                <c:pt idx="10">
                  <c:v>4.5326399999999998</c:v>
                </c:pt>
                <c:pt idx="11">
                  <c:v>4.5326399999999998</c:v>
                </c:pt>
                <c:pt idx="12">
                  <c:v>4.5326399999999998</c:v>
                </c:pt>
                <c:pt idx="13">
                  <c:v>4.5326399999999998</c:v>
                </c:pt>
                <c:pt idx="14">
                  <c:v>4.5326399999999998</c:v>
                </c:pt>
                <c:pt idx="15">
                  <c:v>4.5326399999999998</c:v>
                </c:pt>
                <c:pt idx="16">
                  <c:v>4.5326399999999998</c:v>
                </c:pt>
                <c:pt idx="17">
                  <c:v>4.5326399999999998</c:v>
                </c:pt>
                <c:pt idx="18">
                  <c:v>4.5326399999999998</c:v>
                </c:pt>
                <c:pt idx="19">
                  <c:v>4.5326399999999998</c:v>
                </c:pt>
                <c:pt idx="20">
                  <c:v>4.5326399999999998</c:v>
                </c:pt>
                <c:pt idx="21">
                  <c:v>4.5326399999999998</c:v>
                </c:pt>
                <c:pt idx="22">
                  <c:v>4.5326399999999998</c:v>
                </c:pt>
                <c:pt idx="23">
                  <c:v>4.5326399999999998</c:v>
                </c:pt>
                <c:pt idx="24">
                  <c:v>4.5326399999999998</c:v>
                </c:pt>
              </c:numCache>
            </c:numRef>
          </c:val>
          <c:smooth val="0"/>
        </c:ser>
        <c:ser>
          <c:idx val="3"/>
          <c:order val="3"/>
          <c:spPr>
            <a:ln w="1905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3段枝分れ実験によってサンプリングされた膜厚データ等'!$AN$149:$AN$173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3段枝分れ実験によってサンプリングされた膜厚データ等'!$AO$149:$AO$173</c:f>
              <c:numCache>
                <c:formatCode>General</c:formatCode>
                <c:ptCount val="25"/>
                <c:pt idx="0">
                  <c:v>3.6844266666666661</c:v>
                </c:pt>
                <c:pt idx="1">
                  <c:v>3.6844266666666661</c:v>
                </c:pt>
                <c:pt idx="2">
                  <c:v>3.6844266666666661</c:v>
                </c:pt>
                <c:pt idx="3">
                  <c:v>3.6844266666666661</c:v>
                </c:pt>
                <c:pt idx="4">
                  <c:v>3.6844266666666661</c:v>
                </c:pt>
                <c:pt idx="5">
                  <c:v>3.6844266666666661</c:v>
                </c:pt>
                <c:pt idx="6">
                  <c:v>3.6844266666666661</c:v>
                </c:pt>
                <c:pt idx="7">
                  <c:v>3.6844266666666661</c:v>
                </c:pt>
                <c:pt idx="8">
                  <c:v>3.6844266666666661</c:v>
                </c:pt>
                <c:pt idx="9">
                  <c:v>3.6844266666666661</c:v>
                </c:pt>
                <c:pt idx="10">
                  <c:v>3.6844266666666661</c:v>
                </c:pt>
                <c:pt idx="11">
                  <c:v>3.6844266666666661</c:v>
                </c:pt>
                <c:pt idx="12">
                  <c:v>3.6844266666666661</c:v>
                </c:pt>
                <c:pt idx="13">
                  <c:v>3.6844266666666661</c:v>
                </c:pt>
                <c:pt idx="14">
                  <c:v>3.6844266666666661</c:v>
                </c:pt>
                <c:pt idx="15">
                  <c:v>3.6844266666666661</c:v>
                </c:pt>
                <c:pt idx="16">
                  <c:v>3.6844266666666661</c:v>
                </c:pt>
                <c:pt idx="17">
                  <c:v>3.6844266666666661</c:v>
                </c:pt>
                <c:pt idx="18">
                  <c:v>3.6844266666666661</c:v>
                </c:pt>
                <c:pt idx="19">
                  <c:v>3.6844266666666661</c:v>
                </c:pt>
                <c:pt idx="20">
                  <c:v>3.6844266666666661</c:v>
                </c:pt>
                <c:pt idx="21">
                  <c:v>3.6844266666666661</c:v>
                </c:pt>
                <c:pt idx="22">
                  <c:v>3.6844266666666661</c:v>
                </c:pt>
                <c:pt idx="23">
                  <c:v>3.6844266666666661</c:v>
                </c:pt>
                <c:pt idx="24">
                  <c:v>3.6844266666666661</c:v>
                </c:pt>
              </c:numCache>
            </c:numRef>
          </c:val>
          <c:smooth val="0"/>
        </c:ser>
        <c:ser>
          <c:idx val="5"/>
          <c:order val="5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3段枝分れ実験によってサンプリングされた膜厚データ等'!$AP$149:$AP$173</c:f>
              <c:numCache>
                <c:formatCode>General</c:formatCode>
                <c:ptCount val="25"/>
                <c:pt idx="0">
                  <c:v>2.8362133333333333</c:v>
                </c:pt>
                <c:pt idx="1">
                  <c:v>2.8362133333333333</c:v>
                </c:pt>
                <c:pt idx="2">
                  <c:v>2.8362133333333333</c:v>
                </c:pt>
                <c:pt idx="3">
                  <c:v>2.8362133333333333</c:v>
                </c:pt>
                <c:pt idx="4">
                  <c:v>2.8362133333333333</c:v>
                </c:pt>
                <c:pt idx="5">
                  <c:v>2.8362133333333333</c:v>
                </c:pt>
                <c:pt idx="6">
                  <c:v>2.8362133333333333</c:v>
                </c:pt>
                <c:pt idx="7">
                  <c:v>2.8362133333333333</c:v>
                </c:pt>
                <c:pt idx="8">
                  <c:v>2.8362133333333333</c:v>
                </c:pt>
                <c:pt idx="9">
                  <c:v>2.8362133333333333</c:v>
                </c:pt>
                <c:pt idx="10">
                  <c:v>2.8362133333333333</c:v>
                </c:pt>
                <c:pt idx="11">
                  <c:v>2.8362133333333333</c:v>
                </c:pt>
                <c:pt idx="12">
                  <c:v>2.8362133333333333</c:v>
                </c:pt>
                <c:pt idx="13">
                  <c:v>2.8362133333333333</c:v>
                </c:pt>
                <c:pt idx="14">
                  <c:v>2.8362133333333333</c:v>
                </c:pt>
                <c:pt idx="15">
                  <c:v>2.8362133333333333</c:v>
                </c:pt>
                <c:pt idx="16">
                  <c:v>2.8362133333333333</c:v>
                </c:pt>
                <c:pt idx="17">
                  <c:v>2.8362133333333333</c:v>
                </c:pt>
                <c:pt idx="18">
                  <c:v>2.8362133333333333</c:v>
                </c:pt>
                <c:pt idx="19">
                  <c:v>2.8362133333333333</c:v>
                </c:pt>
                <c:pt idx="20">
                  <c:v>2.8362133333333333</c:v>
                </c:pt>
                <c:pt idx="21">
                  <c:v>2.8362133333333333</c:v>
                </c:pt>
                <c:pt idx="22">
                  <c:v>2.8362133333333333</c:v>
                </c:pt>
                <c:pt idx="23">
                  <c:v>2.8362133333333333</c:v>
                </c:pt>
                <c:pt idx="24">
                  <c:v>2.8362133333333333</c:v>
                </c:pt>
              </c:numCache>
            </c:numRef>
          </c:val>
          <c:smooth val="0"/>
        </c:ser>
        <c:ser>
          <c:idx val="6"/>
          <c:order val="6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3段枝分れ実験によってサンプリングされた膜厚データ等'!$AQ$149:$AQ$173</c:f>
              <c:numCache>
                <c:formatCode>General</c:formatCode>
                <c:ptCount val="25"/>
                <c:pt idx="0">
                  <c:v>1.3253333333333335</c:v>
                </c:pt>
                <c:pt idx="1">
                  <c:v>1.3253333333333335</c:v>
                </c:pt>
                <c:pt idx="2">
                  <c:v>1.3253333333333335</c:v>
                </c:pt>
                <c:pt idx="3">
                  <c:v>1.3253333333333335</c:v>
                </c:pt>
                <c:pt idx="4">
                  <c:v>1.3253333333333335</c:v>
                </c:pt>
                <c:pt idx="5">
                  <c:v>1.3253333333333335</c:v>
                </c:pt>
                <c:pt idx="6">
                  <c:v>1.3253333333333335</c:v>
                </c:pt>
                <c:pt idx="7">
                  <c:v>1.3253333333333335</c:v>
                </c:pt>
                <c:pt idx="8">
                  <c:v>1.3253333333333335</c:v>
                </c:pt>
                <c:pt idx="9">
                  <c:v>1.3253333333333335</c:v>
                </c:pt>
                <c:pt idx="10">
                  <c:v>1.3253333333333335</c:v>
                </c:pt>
                <c:pt idx="11">
                  <c:v>1.3253333333333335</c:v>
                </c:pt>
                <c:pt idx="12">
                  <c:v>1.3253333333333335</c:v>
                </c:pt>
                <c:pt idx="13">
                  <c:v>1.3253333333333335</c:v>
                </c:pt>
                <c:pt idx="14">
                  <c:v>1.3253333333333335</c:v>
                </c:pt>
                <c:pt idx="15">
                  <c:v>1.3253333333333335</c:v>
                </c:pt>
                <c:pt idx="16">
                  <c:v>1.3253333333333335</c:v>
                </c:pt>
                <c:pt idx="17">
                  <c:v>1.3253333333333335</c:v>
                </c:pt>
                <c:pt idx="18">
                  <c:v>1.3253333333333335</c:v>
                </c:pt>
                <c:pt idx="19">
                  <c:v>1.3253333333333335</c:v>
                </c:pt>
                <c:pt idx="20">
                  <c:v>1.3253333333333335</c:v>
                </c:pt>
                <c:pt idx="21">
                  <c:v>1.3253333333333335</c:v>
                </c:pt>
                <c:pt idx="22">
                  <c:v>1.3253333333333335</c:v>
                </c:pt>
                <c:pt idx="23">
                  <c:v>1.3253333333333335</c:v>
                </c:pt>
                <c:pt idx="24">
                  <c:v>1.3253333333333335</c:v>
                </c:pt>
              </c:numCache>
            </c:numRef>
          </c:val>
          <c:smooth val="0"/>
        </c:ser>
        <c:ser>
          <c:idx val="7"/>
          <c:order val="7"/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'表3.2　3段枝分れ実験によってサンプリングされた膜厚データ等'!$H$149:$H$173</c:f>
              <c:numCache>
                <c:formatCode>m/d;@</c:formatCode>
                <c:ptCount val="25"/>
                <c:pt idx="0">
                  <c:v>42499</c:v>
                </c:pt>
                <c:pt idx="1">
                  <c:v>42500</c:v>
                </c:pt>
                <c:pt idx="2">
                  <c:v>42501</c:v>
                </c:pt>
                <c:pt idx="3">
                  <c:v>42502</c:v>
                </c:pt>
                <c:pt idx="4">
                  <c:v>42503</c:v>
                </c:pt>
                <c:pt idx="5">
                  <c:v>42506</c:v>
                </c:pt>
                <c:pt idx="6">
                  <c:v>42507</c:v>
                </c:pt>
                <c:pt idx="7">
                  <c:v>42508</c:v>
                </c:pt>
                <c:pt idx="8">
                  <c:v>42509</c:v>
                </c:pt>
                <c:pt idx="9">
                  <c:v>42510</c:v>
                </c:pt>
                <c:pt idx="10">
                  <c:v>42513</c:v>
                </c:pt>
                <c:pt idx="11">
                  <c:v>42514</c:v>
                </c:pt>
                <c:pt idx="12">
                  <c:v>42515</c:v>
                </c:pt>
                <c:pt idx="13">
                  <c:v>42516</c:v>
                </c:pt>
                <c:pt idx="14">
                  <c:v>42517</c:v>
                </c:pt>
                <c:pt idx="15">
                  <c:v>42520</c:v>
                </c:pt>
                <c:pt idx="16">
                  <c:v>42521</c:v>
                </c:pt>
                <c:pt idx="17">
                  <c:v>42522</c:v>
                </c:pt>
                <c:pt idx="18">
                  <c:v>42523</c:v>
                </c:pt>
                <c:pt idx="19">
                  <c:v>42524</c:v>
                </c:pt>
                <c:pt idx="20">
                  <c:v>42527</c:v>
                </c:pt>
                <c:pt idx="21">
                  <c:v>42528</c:v>
                </c:pt>
                <c:pt idx="22">
                  <c:v>42529</c:v>
                </c:pt>
                <c:pt idx="23">
                  <c:v>42530</c:v>
                </c:pt>
                <c:pt idx="24">
                  <c:v>42531</c:v>
                </c:pt>
              </c:numCache>
            </c:numRef>
          </c:cat>
          <c:val>
            <c:numRef>
              <c:f>'表3.2　3段枝分れ実験によってサンプリングされた膜厚データ等'!$AR$149:$AR$173</c:f>
              <c:numCache>
                <c:formatCode>General</c:formatCode>
                <c:ptCount val="25"/>
                <c:pt idx="0">
                  <c:v>0.66266666666666674</c:v>
                </c:pt>
                <c:pt idx="1">
                  <c:v>0.66266666666666674</c:v>
                </c:pt>
                <c:pt idx="2">
                  <c:v>0.66266666666666674</c:v>
                </c:pt>
                <c:pt idx="3">
                  <c:v>0.66266666666666674</c:v>
                </c:pt>
                <c:pt idx="4">
                  <c:v>0.66266666666666674</c:v>
                </c:pt>
                <c:pt idx="5">
                  <c:v>0.66266666666666674</c:v>
                </c:pt>
                <c:pt idx="6">
                  <c:v>0.66266666666666674</c:v>
                </c:pt>
                <c:pt idx="7">
                  <c:v>0.66266666666666674</c:v>
                </c:pt>
                <c:pt idx="8">
                  <c:v>0.66266666666666674</c:v>
                </c:pt>
                <c:pt idx="9">
                  <c:v>0.66266666666666674</c:v>
                </c:pt>
                <c:pt idx="10">
                  <c:v>0.66266666666666674</c:v>
                </c:pt>
                <c:pt idx="11">
                  <c:v>0.66266666666666674</c:v>
                </c:pt>
                <c:pt idx="12">
                  <c:v>0.66266666666666674</c:v>
                </c:pt>
                <c:pt idx="13">
                  <c:v>0.66266666666666674</c:v>
                </c:pt>
                <c:pt idx="14">
                  <c:v>0.66266666666666674</c:v>
                </c:pt>
                <c:pt idx="15">
                  <c:v>0.66266666666666674</c:v>
                </c:pt>
                <c:pt idx="16">
                  <c:v>0.66266666666666674</c:v>
                </c:pt>
                <c:pt idx="17">
                  <c:v>0.66266666666666674</c:v>
                </c:pt>
                <c:pt idx="18">
                  <c:v>0.66266666666666674</c:v>
                </c:pt>
                <c:pt idx="19">
                  <c:v>0.66266666666666674</c:v>
                </c:pt>
                <c:pt idx="20">
                  <c:v>0.66266666666666674</c:v>
                </c:pt>
                <c:pt idx="21">
                  <c:v>0.66266666666666674</c:v>
                </c:pt>
                <c:pt idx="22">
                  <c:v>0.66266666666666674</c:v>
                </c:pt>
                <c:pt idx="23">
                  <c:v>0.66266666666666674</c:v>
                </c:pt>
                <c:pt idx="24">
                  <c:v>0.66266666666666674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65312"/>
        <c:axId val="135566848"/>
      </c:lineChart>
      <c:catAx>
        <c:axId val="13556531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135566848"/>
        <c:crosses val="autoZero"/>
        <c:auto val="0"/>
        <c:lblAlgn val="ctr"/>
        <c:lblOffset val="100"/>
        <c:noMultiLvlLbl val="0"/>
      </c:catAx>
      <c:valAx>
        <c:axId val="135566848"/>
        <c:scaling>
          <c:orientation val="minMax"/>
          <c:max val="16"/>
        </c:scaling>
        <c:delete val="0"/>
        <c:axPos val="l"/>
        <c:numFmt formatCode="#,##0.0_);[Red]\(#,##0.0\)" sourceLinked="0"/>
        <c:majorTickMark val="out"/>
        <c:minorTickMark val="none"/>
        <c:tickLblPos val="nextTo"/>
        <c:crossAx val="1355653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876300</xdr:colOff>
      <xdr:row>36</xdr:row>
      <xdr:rowOff>177800</xdr:rowOff>
    </xdr:from>
    <xdr:to>
      <xdr:col>28</xdr:col>
      <xdr:colOff>533400</xdr:colOff>
      <xdr:row>53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393700</xdr:colOff>
      <xdr:row>174</xdr:row>
      <xdr:rowOff>139700</xdr:rowOff>
    </xdr:from>
    <xdr:to>
      <xdr:col>10</xdr:col>
      <xdr:colOff>431800</xdr:colOff>
      <xdr:row>196</xdr:row>
      <xdr:rowOff>50800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736600</xdr:colOff>
      <xdr:row>174</xdr:row>
      <xdr:rowOff>165100</xdr:rowOff>
    </xdr:from>
    <xdr:to>
      <xdr:col>21</xdr:col>
      <xdr:colOff>127000</xdr:colOff>
      <xdr:row>196</xdr:row>
      <xdr:rowOff>76200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431800</xdr:colOff>
      <xdr:row>196</xdr:row>
      <xdr:rowOff>177800</xdr:rowOff>
    </xdr:from>
    <xdr:to>
      <xdr:col>10</xdr:col>
      <xdr:colOff>469900</xdr:colOff>
      <xdr:row>218</xdr:row>
      <xdr:rowOff>88900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197</xdr:row>
      <xdr:rowOff>0</xdr:rowOff>
    </xdr:from>
    <xdr:to>
      <xdr:col>21</xdr:col>
      <xdr:colOff>38100</xdr:colOff>
      <xdr:row>218</xdr:row>
      <xdr:rowOff>139700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177800</xdr:colOff>
      <xdr:row>30</xdr:row>
      <xdr:rowOff>0</xdr:rowOff>
    </xdr:from>
    <xdr:to>
      <xdr:col>37</xdr:col>
      <xdr:colOff>812800</xdr:colOff>
      <xdr:row>47</xdr:row>
      <xdr:rowOff>12700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31</xdr:col>
      <xdr:colOff>304800</xdr:colOff>
      <xdr:row>47</xdr:row>
      <xdr:rowOff>190500</xdr:rowOff>
    </xdr:from>
    <xdr:to>
      <xdr:col>37</xdr:col>
      <xdr:colOff>939800</xdr:colOff>
      <xdr:row>64</xdr:row>
      <xdr:rowOff>165100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0</xdr:colOff>
      <xdr:row>174</xdr:row>
      <xdr:rowOff>50800</xdr:rowOff>
    </xdr:from>
    <xdr:to>
      <xdr:col>34</xdr:col>
      <xdr:colOff>762000</xdr:colOff>
      <xdr:row>190</xdr:row>
      <xdr:rowOff>152400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12700</xdr:colOff>
      <xdr:row>191</xdr:row>
      <xdr:rowOff>12700</xdr:rowOff>
    </xdr:from>
    <xdr:to>
      <xdr:col>34</xdr:col>
      <xdr:colOff>749300</xdr:colOff>
      <xdr:row>209</xdr:row>
      <xdr:rowOff>76200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774700</xdr:colOff>
      <xdr:row>174</xdr:row>
      <xdr:rowOff>38100</xdr:rowOff>
    </xdr:from>
    <xdr:to>
      <xdr:col>44</xdr:col>
      <xdr:colOff>317500</xdr:colOff>
      <xdr:row>190</xdr:row>
      <xdr:rowOff>177800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825500</xdr:colOff>
      <xdr:row>191</xdr:row>
      <xdr:rowOff>127000</xdr:rowOff>
    </xdr:from>
    <xdr:to>
      <xdr:col>44</xdr:col>
      <xdr:colOff>292100</xdr:colOff>
      <xdr:row>209</xdr:row>
      <xdr:rowOff>190500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selection activeCell="P5" sqref="P5"/>
    </sheetView>
  </sheetViews>
  <sheetFormatPr defaultColWidth="13" defaultRowHeight="14.25" x14ac:dyDescent="0.15"/>
  <sheetData>
    <row r="1" spans="1:10" x14ac:dyDescent="0.15">
      <c r="A1" s="3" t="s">
        <v>0</v>
      </c>
      <c r="B1" s="3" t="s">
        <v>1</v>
      </c>
      <c r="C1" s="36" t="s">
        <v>2</v>
      </c>
      <c r="D1" s="37"/>
      <c r="E1" s="37"/>
      <c r="F1" s="38"/>
      <c r="G1" s="36" t="s">
        <v>4</v>
      </c>
      <c r="H1" s="37"/>
      <c r="I1" s="37"/>
      <c r="J1" s="38"/>
    </row>
    <row r="2" spans="1:10" x14ac:dyDescent="0.15">
      <c r="A2" s="4">
        <v>42499</v>
      </c>
      <c r="B2" s="3" t="s">
        <v>6</v>
      </c>
      <c r="C2" s="5">
        <v>17.600000000000001</v>
      </c>
      <c r="D2" s="5">
        <v>17.5</v>
      </c>
      <c r="E2" s="5">
        <v>17.100000000000001</v>
      </c>
      <c r="F2" s="5">
        <v>18</v>
      </c>
      <c r="G2" s="5">
        <v>17.399999999999999</v>
      </c>
      <c r="H2" s="5">
        <v>19.600000000000001</v>
      </c>
      <c r="I2" s="5">
        <v>19</v>
      </c>
      <c r="J2" s="5">
        <v>13.3</v>
      </c>
    </row>
    <row r="3" spans="1:10" x14ac:dyDescent="0.15">
      <c r="A3" s="4">
        <v>42500</v>
      </c>
      <c r="B3" s="3" t="s">
        <v>7</v>
      </c>
      <c r="C3" s="5">
        <v>15.7</v>
      </c>
      <c r="D3" s="5">
        <v>16.7</v>
      </c>
      <c r="E3" s="5">
        <v>17.100000000000001</v>
      </c>
      <c r="F3" s="5">
        <v>16.7</v>
      </c>
      <c r="G3" s="5">
        <v>16.5</v>
      </c>
      <c r="H3" s="5">
        <v>15.1</v>
      </c>
      <c r="I3" s="5">
        <v>13.6</v>
      </c>
      <c r="J3" s="5">
        <v>13.7</v>
      </c>
    </row>
    <row r="4" spans="1:10" x14ac:dyDescent="0.15">
      <c r="A4" s="4">
        <v>42501</v>
      </c>
      <c r="B4" s="3" t="s">
        <v>8</v>
      </c>
      <c r="C4" s="5">
        <v>16.8</v>
      </c>
      <c r="D4" s="5">
        <v>18.7</v>
      </c>
      <c r="E4" s="5">
        <v>14.9</v>
      </c>
      <c r="F4" s="5">
        <v>17.3</v>
      </c>
      <c r="G4" s="5">
        <v>13.5</v>
      </c>
      <c r="H4" s="5">
        <v>13.8</v>
      </c>
      <c r="I4" s="5">
        <v>19.100000000000001</v>
      </c>
      <c r="J4" s="5">
        <v>12.9</v>
      </c>
    </row>
    <row r="5" spans="1:10" x14ac:dyDescent="0.15">
      <c r="A5" s="4">
        <v>42502</v>
      </c>
      <c r="B5" s="3" t="s">
        <v>9</v>
      </c>
      <c r="C5" s="5">
        <v>16.600000000000001</v>
      </c>
      <c r="D5" s="5">
        <v>18</v>
      </c>
      <c r="E5" s="5">
        <v>15.2</v>
      </c>
      <c r="F5" s="5">
        <v>15.5</v>
      </c>
      <c r="G5" s="5">
        <v>19</v>
      </c>
      <c r="H5" s="5">
        <v>17.7</v>
      </c>
      <c r="I5" s="5">
        <v>17.100000000000001</v>
      </c>
      <c r="J5" s="5">
        <v>18.3</v>
      </c>
    </row>
    <row r="6" spans="1:10" x14ac:dyDescent="0.15">
      <c r="A6" s="4">
        <v>42503</v>
      </c>
      <c r="B6" s="3" t="s">
        <v>10</v>
      </c>
      <c r="C6" s="5">
        <v>16.600000000000001</v>
      </c>
      <c r="D6" s="5">
        <v>15.8</v>
      </c>
      <c r="E6" s="5">
        <v>17.5</v>
      </c>
      <c r="F6" s="5">
        <v>17.2</v>
      </c>
      <c r="G6" s="5">
        <v>13.1</v>
      </c>
      <c r="H6" s="5">
        <v>14.1</v>
      </c>
      <c r="I6" s="5">
        <v>15.3</v>
      </c>
      <c r="J6" s="5">
        <v>16.8</v>
      </c>
    </row>
    <row r="7" spans="1:10" x14ac:dyDescent="0.15">
      <c r="A7" s="4">
        <v>42506</v>
      </c>
      <c r="B7" s="3" t="s">
        <v>6</v>
      </c>
      <c r="C7" s="5">
        <v>16.899999999999999</v>
      </c>
      <c r="D7" s="5">
        <v>14.4</v>
      </c>
      <c r="E7" s="5">
        <v>15.8</v>
      </c>
      <c r="F7" s="5">
        <v>15.9</v>
      </c>
      <c r="G7" s="5">
        <v>17.600000000000001</v>
      </c>
      <c r="H7" s="5">
        <v>13</v>
      </c>
      <c r="I7" s="5">
        <v>10.9</v>
      </c>
      <c r="J7" s="5">
        <v>15.1</v>
      </c>
    </row>
    <row r="8" spans="1:10" x14ac:dyDescent="0.15">
      <c r="A8" s="4">
        <v>42507</v>
      </c>
      <c r="B8" s="3" t="s">
        <v>7</v>
      </c>
      <c r="C8" s="5">
        <v>17.100000000000001</v>
      </c>
      <c r="D8" s="5">
        <v>14.9</v>
      </c>
      <c r="E8" s="5">
        <v>16.399999999999999</v>
      </c>
      <c r="F8" s="5">
        <v>15.8</v>
      </c>
      <c r="G8" s="5">
        <v>11.5</v>
      </c>
      <c r="H8" s="5">
        <v>13.1</v>
      </c>
      <c r="I8" s="5">
        <v>16.899999999999999</v>
      </c>
      <c r="J8" s="5">
        <v>18.2</v>
      </c>
    </row>
    <row r="9" spans="1:10" x14ac:dyDescent="0.15">
      <c r="A9" s="4">
        <v>42508</v>
      </c>
      <c r="B9" s="3" t="s">
        <v>8</v>
      </c>
      <c r="C9" s="5">
        <v>15.6</v>
      </c>
      <c r="D9" s="5">
        <v>16.399999999999999</v>
      </c>
      <c r="E9" s="5">
        <v>16.600000000000001</v>
      </c>
      <c r="F9" s="5">
        <v>14.9</v>
      </c>
      <c r="G9" s="5">
        <v>12.4</v>
      </c>
      <c r="H9" s="5">
        <v>13.5</v>
      </c>
      <c r="I9" s="5">
        <v>12.7</v>
      </c>
      <c r="J9" s="5">
        <v>15.1</v>
      </c>
    </row>
    <row r="10" spans="1:10" x14ac:dyDescent="0.15">
      <c r="A10" s="4">
        <v>42509</v>
      </c>
      <c r="B10" s="3" t="s">
        <v>9</v>
      </c>
      <c r="C10" s="5">
        <v>14.8</v>
      </c>
      <c r="D10" s="5">
        <v>15.5</v>
      </c>
      <c r="E10" s="5">
        <v>14.8</v>
      </c>
      <c r="F10" s="5">
        <v>16.5</v>
      </c>
      <c r="G10" s="5">
        <v>15.9</v>
      </c>
      <c r="H10" s="5">
        <v>13.1</v>
      </c>
      <c r="I10" s="5">
        <v>17</v>
      </c>
      <c r="J10" s="5">
        <v>13.6</v>
      </c>
    </row>
    <row r="11" spans="1:10" x14ac:dyDescent="0.15">
      <c r="A11" s="4">
        <v>42510</v>
      </c>
      <c r="B11" s="3" t="s">
        <v>10</v>
      </c>
      <c r="C11" s="5">
        <v>14.9</v>
      </c>
      <c r="D11" s="5">
        <v>15.8</v>
      </c>
      <c r="E11" s="5">
        <v>16.8</v>
      </c>
      <c r="F11" s="5">
        <v>14.6</v>
      </c>
      <c r="G11" s="5">
        <v>18.8</v>
      </c>
      <c r="H11" s="5">
        <v>17.8</v>
      </c>
      <c r="I11" s="5">
        <v>13.6</v>
      </c>
      <c r="J11" s="5">
        <v>14.9</v>
      </c>
    </row>
    <row r="12" spans="1:10" x14ac:dyDescent="0.15">
      <c r="A12" s="4">
        <v>42513</v>
      </c>
      <c r="B12" s="3" t="s">
        <v>6</v>
      </c>
      <c r="C12" s="5">
        <v>14.9</v>
      </c>
      <c r="D12" s="5">
        <v>15.6</v>
      </c>
      <c r="E12" s="5">
        <v>16</v>
      </c>
      <c r="F12" s="5">
        <v>15.5</v>
      </c>
      <c r="G12" s="5">
        <v>17.3</v>
      </c>
      <c r="H12" s="5">
        <v>13.1</v>
      </c>
      <c r="I12" s="5">
        <v>22.4</v>
      </c>
      <c r="J12" s="5">
        <v>12.2</v>
      </c>
    </row>
    <row r="13" spans="1:10" x14ac:dyDescent="0.15">
      <c r="A13" s="4">
        <v>42514</v>
      </c>
      <c r="B13" s="3" t="s">
        <v>7</v>
      </c>
      <c r="C13" s="5">
        <v>17.2</v>
      </c>
      <c r="D13" s="5">
        <v>16.2</v>
      </c>
      <c r="E13" s="5">
        <v>15</v>
      </c>
      <c r="F13" s="5">
        <v>16.600000000000001</v>
      </c>
      <c r="G13" s="5">
        <v>13.4</v>
      </c>
      <c r="H13" s="5">
        <v>14</v>
      </c>
      <c r="I13" s="5">
        <v>18</v>
      </c>
      <c r="J13" s="5">
        <v>18</v>
      </c>
    </row>
    <row r="14" spans="1:10" x14ac:dyDescent="0.15">
      <c r="A14" s="4">
        <v>42515</v>
      </c>
      <c r="B14" s="3" t="s">
        <v>8</v>
      </c>
      <c r="C14" s="5">
        <v>14.6</v>
      </c>
      <c r="D14" s="5">
        <v>16.399999999999999</v>
      </c>
      <c r="E14" s="5">
        <v>15.8</v>
      </c>
      <c r="F14" s="5">
        <v>16.2</v>
      </c>
      <c r="G14" s="5">
        <v>16.3</v>
      </c>
      <c r="H14" s="5">
        <v>14.9</v>
      </c>
      <c r="I14" s="5">
        <v>17.7</v>
      </c>
      <c r="J14" s="5">
        <v>14</v>
      </c>
    </row>
    <row r="15" spans="1:10" x14ac:dyDescent="0.15">
      <c r="A15" s="4">
        <v>42516</v>
      </c>
      <c r="B15" s="3" t="s">
        <v>9</v>
      </c>
      <c r="C15" s="5">
        <v>15.9</v>
      </c>
      <c r="D15" s="5">
        <v>13.9</v>
      </c>
      <c r="E15" s="5">
        <v>15.6</v>
      </c>
      <c r="F15" s="5">
        <v>14.9</v>
      </c>
      <c r="G15" s="5">
        <v>19.5</v>
      </c>
      <c r="H15" s="5">
        <v>13.4</v>
      </c>
      <c r="I15" s="5">
        <v>17</v>
      </c>
      <c r="J15" s="5">
        <v>11.6</v>
      </c>
    </row>
    <row r="16" spans="1:10" x14ac:dyDescent="0.15">
      <c r="A16" s="4">
        <v>42517</v>
      </c>
      <c r="B16" s="3" t="s">
        <v>10</v>
      </c>
      <c r="C16" s="5">
        <v>14.2</v>
      </c>
      <c r="D16" s="5">
        <v>16</v>
      </c>
      <c r="E16" s="5">
        <v>15.4</v>
      </c>
      <c r="F16" s="5">
        <v>14.3</v>
      </c>
      <c r="G16" s="5">
        <v>15.1</v>
      </c>
      <c r="H16" s="5">
        <v>20.9</v>
      </c>
      <c r="I16" s="5">
        <v>19.8</v>
      </c>
      <c r="J16" s="5">
        <v>12.5</v>
      </c>
    </row>
    <row r="17" spans="1:10" x14ac:dyDescent="0.15">
      <c r="A17" s="4">
        <v>42520</v>
      </c>
      <c r="B17" s="3" t="s">
        <v>6</v>
      </c>
      <c r="C17" s="5">
        <v>13.6</v>
      </c>
      <c r="D17" s="5">
        <v>15.6</v>
      </c>
      <c r="E17" s="5">
        <v>15.6</v>
      </c>
      <c r="F17" s="5">
        <v>15.5</v>
      </c>
      <c r="G17" s="5">
        <v>16.100000000000001</v>
      </c>
      <c r="H17" s="5">
        <v>13.5</v>
      </c>
      <c r="I17" s="5">
        <v>7.8</v>
      </c>
      <c r="J17" s="5">
        <v>14.1</v>
      </c>
    </row>
    <row r="18" spans="1:10" x14ac:dyDescent="0.15">
      <c r="A18" s="4">
        <v>42521</v>
      </c>
      <c r="B18" s="3" t="s">
        <v>7</v>
      </c>
      <c r="C18" s="5">
        <v>14.4</v>
      </c>
      <c r="D18" s="5">
        <v>15.1</v>
      </c>
      <c r="E18" s="5">
        <v>13.7</v>
      </c>
      <c r="F18" s="5">
        <v>14.2</v>
      </c>
      <c r="G18" s="5">
        <v>18</v>
      </c>
      <c r="H18" s="5">
        <v>12.4</v>
      </c>
      <c r="I18" s="5">
        <v>20.100000000000001</v>
      </c>
      <c r="J18" s="5">
        <v>16.3</v>
      </c>
    </row>
    <row r="19" spans="1:10" x14ac:dyDescent="0.15">
      <c r="A19" s="4">
        <v>42522</v>
      </c>
      <c r="B19" s="3" t="s">
        <v>8</v>
      </c>
      <c r="C19" s="5">
        <v>14.6</v>
      </c>
      <c r="D19" s="5">
        <v>13.9</v>
      </c>
      <c r="E19" s="5">
        <v>12.4</v>
      </c>
      <c r="F19" s="5">
        <v>15.1</v>
      </c>
      <c r="G19" s="5">
        <v>19</v>
      </c>
      <c r="H19" s="5">
        <v>13.9</v>
      </c>
      <c r="I19" s="5">
        <v>15.3</v>
      </c>
      <c r="J19" s="5">
        <v>17.899999999999999</v>
      </c>
    </row>
    <row r="20" spans="1:10" x14ac:dyDescent="0.15">
      <c r="A20" s="4">
        <v>42523</v>
      </c>
      <c r="B20" s="3" t="s">
        <v>9</v>
      </c>
      <c r="C20" s="5">
        <v>14.5</v>
      </c>
      <c r="D20" s="5">
        <v>14.3</v>
      </c>
      <c r="E20" s="5">
        <v>14.8</v>
      </c>
      <c r="F20" s="5">
        <v>13.5</v>
      </c>
      <c r="G20" s="5">
        <v>15.9</v>
      </c>
      <c r="H20" s="5">
        <v>16.600000000000001</v>
      </c>
      <c r="I20" s="5">
        <v>12.6</v>
      </c>
      <c r="J20" s="5">
        <v>13.2</v>
      </c>
    </row>
    <row r="21" spans="1:10" x14ac:dyDescent="0.15">
      <c r="A21" s="4">
        <v>42524</v>
      </c>
      <c r="B21" s="3" t="s">
        <v>10</v>
      </c>
      <c r="C21" s="5">
        <v>13.7</v>
      </c>
      <c r="D21" s="5">
        <v>13.8</v>
      </c>
      <c r="E21" s="5">
        <v>14.4</v>
      </c>
      <c r="F21" s="5">
        <v>13.5</v>
      </c>
      <c r="G21" s="5">
        <v>14.8</v>
      </c>
      <c r="H21" s="5">
        <v>19.2</v>
      </c>
      <c r="I21" s="5">
        <v>16.600000000000001</v>
      </c>
      <c r="J21" s="5">
        <v>20.7</v>
      </c>
    </row>
    <row r="22" spans="1:10" x14ac:dyDescent="0.15">
      <c r="A22" s="4">
        <v>42527</v>
      </c>
      <c r="B22" s="3" t="s">
        <v>6</v>
      </c>
      <c r="C22" s="5">
        <v>12.4</v>
      </c>
      <c r="D22" s="5">
        <v>13.6</v>
      </c>
      <c r="E22" s="5">
        <v>14.3</v>
      </c>
      <c r="F22" s="5">
        <v>14.2</v>
      </c>
      <c r="G22" s="5">
        <v>14.9</v>
      </c>
      <c r="H22" s="5">
        <v>19</v>
      </c>
      <c r="I22" s="5">
        <v>15</v>
      </c>
      <c r="J22" s="5">
        <v>12</v>
      </c>
    </row>
    <row r="23" spans="1:10" x14ac:dyDescent="0.15">
      <c r="A23" s="4">
        <v>42528</v>
      </c>
      <c r="B23" s="3" t="s">
        <v>7</v>
      </c>
      <c r="C23" s="5">
        <v>12.4</v>
      </c>
      <c r="D23" s="5">
        <v>13.7</v>
      </c>
      <c r="E23" s="5">
        <v>13</v>
      </c>
      <c r="F23" s="5">
        <v>13.9</v>
      </c>
      <c r="G23" s="5">
        <v>17.899999999999999</v>
      </c>
      <c r="H23" s="5">
        <v>19.8</v>
      </c>
      <c r="I23" s="5">
        <v>18.100000000000001</v>
      </c>
      <c r="J23" s="5">
        <v>7.6</v>
      </c>
    </row>
    <row r="24" spans="1:10" x14ac:dyDescent="0.15">
      <c r="A24" s="4">
        <v>42529</v>
      </c>
      <c r="B24" s="3" t="s">
        <v>8</v>
      </c>
      <c r="C24" s="5">
        <v>13.5</v>
      </c>
      <c r="D24" s="5">
        <v>13.8</v>
      </c>
      <c r="E24" s="5">
        <v>15.1</v>
      </c>
      <c r="F24" s="5">
        <v>12</v>
      </c>
      <c r="G24" s="5">
        <v>12.6</v>
      </c>
      <c r="H24" s="5">
        <v>14.7</v>
      </c>
      <c r="I24" s="5">
        <v>12.5</v>
      </c>
      <c r="J24" s="5">
        <v>9.1999999999999993</v>
      </c>
    </row>
    <row r="25" spans="1:10" x14ac:dyDescent="0.15">
      <c r="A25" s="4">
        <v>42530</v>
      </c>
      <c r="B25" s="3" t="s">
        <v>9</v>
      </c>
      <c r="C25" s="5">
        <v>14.8</v>
      </c>
      <c r="D25" s="5">
        <v>11.8</v>
      </c>
      <c r="E25" s="5">
        <v>11.7</v>
      </c>
      <c r="F25" s="5">
        <v>14</v>
      </c>
      <c r="G25" s="5">
        <v>15.6</v>
      </c>
      <c r="H25" s="5">
        <v>9.1</v>
      </c>
      <c r="I25" s="5">
        <v>19.399999999999999</v>
      </c>
      <c r="J25" s="5">
        <v>13.2</v>
      </c>
    </row>
    <row r="26" spans="1:10" x14ac:dyDescent="0.15">
      <c r="A26" s="4">
        <v>42531</v>
      </c>
      <c r="B26" s="3" t="s">
        <v>10</v>
      </c>
      <c r="C26" s="5">
        <v>12.6</v>
      </c>
      <c r="D26" s="5">
        <v>12.2</v>
      </c>
      <c r="E26" s="5">
        <v>12.8</v>
      </c>
      <c r="F26" s="5">
        <v>14.2</v>
      </c>
      <c r="G26" s="5">
        <v>14.9</v>
      </c>
      <c r="H26" s="5">
        <v>15.4</v>
      </c>
      <c r="I26" s="5">
        <v>15.7</v>
      </c>
      <c r="J26" s="5">
        <v>16.899999999999999</v>
      </c>
    </row>
    <row r="31" spans="1:10" x14ac:dyDescent="0.15">
      <c r="A31" s="6"/>
      <c r="B31" s="6"/>
      <c r="C31" s="6"/>
      <c r="D31" s="32" t="s">
        <v>19</v>
      </c>
      <c r="E31" s="32"/>
    </row>
    <row r="32" spans="1:10" x14ac:dyDescent="0.15">
      <c r="A32" s="3" t="s">
        <v>14</v>
      </c>
      <c r="B32" s="3" t="s">
        <v>15</v>
      </c>
      <c r="C32" s="3" t="s">
        <v>18</v>
      </c>
      <c r="D32" s="3">
        <v>1</v>
      </c>
      <c r="E32" s="3">
        <v>2</v>
      </c>
    </row>
    <row r="33" spans="1:5" x14ac:dyDescent="0.15">
      <c r="A33" s="31">
        <v>1</v>
      </c>
      <c r="B33" s="31" t="s">
        <v>16</v>
      </c>
      <c r="C33" s="7">
        <v>1</v>
      </c>
      <c r="D33" s="5">
        <v>19.7</v>
      </c>
      <c r="E33" s="5">
        <v>20.3</v>
      </c>
    </row>
    <row r="34" spans="1:5" x14ac:dyDescent="0.15">
      <c r="A34" s="31"/>
      <c r="B34" s="31"/>
      <c r="C34" s="7">
        <v>2</v>
      </c>
      <c r="D34" s="5">
        <v>19.7</v>
      </c>
      <c r="E34" s="5">
        <v>20.6</v>
      </c>
    </row>
    <row r="35" spans="1:5" x14ac:dyDescent="0.15">
      <c r="A35" s="31"/>
      <c r="B35" s="31" t="s">
        <v>17</v>
      </c>
      <c r="C35" s="7">
        <v>1</v>
      </c>
      <c r="D35" s="5">
        <v>14.3</v>
      </c>
      <c r="E35" s="5">
        <v>15.1</v>
      </c>
    </row>
    <row r="36" spans="1:5" x14ac:dyDescent="0.15">
      <c r="A36" s="31"/>
      <c r="B36" s="31"/>
      <c r="C36" s="7">
        <v>2</v>
      </c>
      <c r="D36" s="5">
        <v>17.2</v>
      </c>
      <c r="E36" s="5">
        <v>13</v>
      </c>
    </row>
    <row r="37" spans="1:5" x14ac:dyDescent="0.15">
      <c r="A37" s="31">
        <v>2</v>
      </c>
      <c r="B37" s="31" t="s">
        <v>16</v>
      </c>
      <c r="C37" s="7">
        <v>1</v>
      </c>
      <c r="D37" s="5">
        <v>16.600000000000001</v>
      </c>
      <c r="E37" s="5">
        <v>17.3</v>
      </c>
    </row>
    <row r="38" spans="1:5" x14ac:dyDescent="0.15">
      <c r="A38" s="31"/>
      <c r="B38" s="31"/>
      <c r="C38" s="7">
        <v>2</v>
      </c>
      <c r="D38" s="5">
        <v>16</v>
      </c>
      <c r="E38" s="5">
        <v>14.8</v>
      </c>
    </row>
    <row r="39" spans="1:5" x14ac:dyDescent="0.15">
      <c r="A39" s="31"/>
      <c r="B39" s="31" t="s">
        <v>17</v>
      </c>
      <c r="C39" s="7">
        <v>1</v>
      </c>
      <c r="D39" s="5">
        <v>11.9</v>
      </c>
      <c r="E39" s="5">
        <v>11.5</v>
      </c>
    </row>
    <row r="40" spans="1:5" x14ac:dyDescent="0.15">
      <c r="A40" s="31"/>
      <c r="B40" s="31"/>
      <c r="C40" s="7">
        <v>2</v>
      </c>
      <c r="D40" s="5">
        <v>15.2</v>
      </c>
      <c r="E40" s="5">
        <v>15.3</v>
      </c>
    </row>
    <row r="41" spans="1:5" x14ac:dyDescent="0.15">
      <c r="A41" s="31">
        <v>3</v>
      </c>
      <c r="B41" s="31" t="s">
        <v>16</v>
      </c>
      <c r="C41" s="7">
        <v>1</v>
      </c>
      <c r="D41" s="5">
        <v>11.5</v>
      </c>
      <c r="E41" s="5">
        <v>12.8</v>
      </c>
    </row>
    <row r="42" spans="1:5" x14ac:dyDescent="0.15">
      <c r="A42" s="31"/>
      <c r="B42" s="31"/>
      <c r="C42" s="7">
        <v>2</v>
      </c>
      <c r="D42" s="5">
        <v>9.8000000000000007</v>
      </c>
      <c r="E42" s="5">
        <v>8.8000000000000007</v>
      </c>
    </row>
    <row r="43" spans="1:5" x14ac:dyDescent="0.15">
      <c r="A43" s="31"/>
      <c r="B43" s="31" t="s">
        <v>17</v>
      </c>
      <c r="C43" s="7">
        <v>1</v>
      </c>
      <c r="D43" s="5">
        <v>12.9</v>
      </c>
      <c r="E43" s="5">
        <v>12</v>
      </c>
    </row>
    <row r="44" spans="1:5" x14ac:dyDescent="0.15">
      <c r="A44" s="31"/>
      <c r="B44" s="31"/>
      <c r="C44" s="7">
        <v>2</v>
      </c>
      <c r="D44" s="5">
        <v>13.9</v>
      </c>
      <c r="E44" s="5">
        <v>15.7</v>
      </c>
    </row>
    <row r="45" spans="1:5" x14ac:dyDescent="0.15">
      <c r="A45" s="31">
        <v>4</v>
      </c>
      <c r="B45" s="31" t="s">
        <v>16</v>
      </c>
      <c r="C45" s="7">
        <v>1</v>
      </c>
      <c r="D45" s="5">
        <v>17.8</v>
      </c>
      <c r="E45" s="5">
        <v>17.899999999999999</v>
      </c>
    </row>
    <row r="46" spans="1:5" x14ac:dyDescent="0.15">
      <c r="A46" s="31"/>
      <c r="B46" s="31"/>
      <c r="C46" s="7">
        <v>2</v>
      </c>
      <c r="D46" s="5">
        <v>23.9</v>
      </c>
      <c r="E46" s="5">
        <v>19.899999999999999</v>
      </c>
    </row>
    <row r="47" spans="1:5" x14ac:dyDescent="0.15">
      <c r="A47" s="31"/>
      <c r="B47" s="31" t="s">
        <v>17</v>
      </c>
      <c r="C47" s="7">
        <v>1</v>
      </c>
      <c r="D47" s="5">
        <v>15.8</v>
      </c>
      <c r="E47" s="5">
        <v>15.7</v>
      </c>
    </row>
    <row r="48" spans="1:5" x14ac:dyDescent="0.15">
      <c r="A48" s="31"/>
      <c r="B48" s="31"/>
      <c r="C48" s="7">
        <v>2</v>
      </c>
      <c r="D48" s="5">
        <v>17.7</v>
      </c>
      <c r="E48" s="5">
        <v>18.3</v>
      </c>
    </row>
    <row r="49" spans="1:5" x14ac:dyDescent="0.15">
      <c r="A49" s="31">
        <v>5</v>
      </c>
      <c r="B49" s="31" t="s">
        <v>16</v>
      </c>
      <c r="C49" s="7">
        <v>1</v>
      </c>
      <c r="D49" s="5">
        <v>14.4</v>
      </c>
      <c r="E49" s="5">
        <v>16.2</v>
      </c>
    </row>
    <row r="50" spans="1:5" x14ac:dyDescent="0.15">
      <c r="A50" s="31"/>
      <c r="B50" s="31"/>
      <c r="C50" s="7">
        <v>2</v>
      </c>
      <c r="D50" s="5">
        <v>16.7</v>
      </c>
      <c r="E50" s="5">
        <v>16.399999999999999</v>
      </c>
    </row>
    <row r="51" spans="1:5" x14ac:dyDescent="0.15">
      <c r="A51" s="31"/>
      <c r="B51" s="31" t="s">
        <v>17</v>
      </c>
      <c r="C51" s="7">
        <v>1</v>
      </c>
      <c r="D51" s="5">
        <v>12.7</v>
      </c>
      <c r="E51" s="5">
        <v>14.3</v>
      </c>
    </row>
    <row r="52" spans="1:5" x14ac:dyDescent="0.15">
      <c r="A52" s="31"/>
      <c r="B52" s="31"/>
      <c r="C52" s="7">
        <v>2</v>
      </c>
      <c r="D52" s="5">
        <v>17.3</v>
      </c>
      <c r="E52" s="5">
        <v>17.100000000000001</v>
      </c>
    </row>
    <row r="53" spans="1:5" x14ac:dyDescent="0.15">
      <c r="A53" s="31">
        <v>6</v>
      </c>
      <c r="B53" s="31" t="s">
        <v>16</v>
      </c>
      <c r="C53" s="7">
        <v>1</v>
      </c>
      <c r="D53" s="5">
        <v>13.8</v>
      </c>
      <c r="E53" s="5">
        <v>12.8</v>
      </c>
    </row>
    <row r="54" spans="1:5" x14ac:dyDescent="0.15">
      <c r="A54" s="31"/>
      <c r="B54" s="31"/>
      <c r="C54" s="7">
        <v>2</v>
      </c>
      <c r="D54" s="5">
        <v>16.7</v>
      </c>
      <c r="E54" s="5">
        <v>14</v>
      </c>
    </row>
    <row r="55" spans="1:5" x14ac:dyDescent="0.15">
      <c r="A55" s="31"/>
      <c r="B55" s="31" t="s">
        <v>17</v>
      </c>
      <c r="C55" s="7">
        <v>1</v>
      </c>
      <c r="D55" s="5">
        <v>17.899999999999999</v>
      </c>
      <c r="E55" s="5">
        <v>16.100000000000001</v>
      </c>
    </row>
    <row r="56" spans="1:5" x14ac:dyDescent="0.15">
      <c r="A56" s="31"/>
      <c r="B56" s="31"/>
      <c r="C56" s="7">
        <v>2</v>
      </c>
      <c r="D56" s="5">
        <v>14.1</v>
      </c>
      <c r="E56" s="5">
        <v>12.6</v>
      </c>
    </row>
    <row r="57" spans="1:5" x14ac:dyDescent="0.15">
      <c r="A57" s="31">
        <v>7</v>
      </c>
      <c r="B57" s="31" t="s">
        <v>16</v>
      </c>
      <c r="C57" s="7">
        <v>1</v>
      </c>
      <c r="D57" s="5">
        <v>11.6</v>
      </c>
      <c r="E57" s="5">
        <v>13.1</v>
      </c>
    </row>
    <row r="58" spans="1:5" x14ac:dyDescent="0.15">
      <c r="A58" s="31"/>
      <c r="B58" s="31"/>
      <c r="C58" s="7">
        <v>2</v>
      </c>
      <c r="D58" s="5">
        <v>14.7</v>
      </c>
      <c r="E58" s="5">
        <v>13.8</v>
      </c>
    </row>
    <row r="59" spans="1:5" x14ac:dyDescent="0.15">
      <c r="A59" s="31"/>
      <c r="B59" s="31" t="s">
        <v>17</v>
      </c>
      <c r="C59" s="7">
        <v>1</v>
      </c>
      <c r="D59" s="5">
        <v>18.2</v>
      </c>
      <c r="E59" s="5">
        <v>17</v>
      </c>
    </row>
    <row r="60" spans="1:5" x14ac:dyDescent="0.15">
      <c r="A60" s="31"/>
      <c r="B60" s="31"/>
      <c r="C60" s="7">
        <v>2</v>
      </c>
      <c r="D60" s="5">
        <v>16.2</v>
      </c>
      <c r="E60" s="5">
        <v>15.1</v>
      </c>
    </row>
    <row r="61" spans="1:5" x14ac:dyDescent="0.15">
      <c r="A61" s="31">
        <v>8</v>
      </c>
      <c r="B61" s="31" t="s">
        <v>16</v>
      </c>
      <c r="C61" s="7">
        <v>1</v>
      </c>
      <c r="D61" s="5">
        <v>23.1</v>
      </c>
      <c r="E61" s="5">
        <v>23.4</v>
      </c>
    </row>
    <row r="62" spans="1:5" x14ac:dyDescent="0.15">
      <c r="A62" s="31"/>
      <c r="B62" s="31"/>
      <c r="C62" s="7">
        <v>2</v>
      </c>
      <c r="D62" s="5">
        <v>13.1</v>
      </c>
      <c r="E62" s="5">
        <v>15.6</v>
      </c>
    </row>
    <row r="63" spans="1:5" x14ac:dyDescent="0.15">
      <c r="A63" s="31"/>
      <c r="B63" s="31" t="s">
        <v>17</v>
      </c>
      <c r="C63" s="7">
        <v>1</v>
      </c>
      <c r="D63" s="5">
        <v>10</v>
      </c>
      <c r="E63" s="5">
        <v>12.1</v>
      </c>
    </row>
    <row r="64" spans="1:5" x14ac:dyDescent="0.15">
      <c r="A64" s="31"/>
      <c r="B64" s="31"/>
      <c r="C64" s="7">
        <v>2</v>
      </c>
      <c r="D64" s="5">
        <v>13.5</v>
      </c>
      <c r="E64" s="5">
        <v>12.6</v>
      </c>
    </row>
    <row r="65" spans="1:5" x14ac:dyDescent="0.15">
      <c r="A65" s="31">
        <v>9</v>
      </c>
      <c r="B65" s="31" t="s">
        <v>16</v>
      </c>
      <c r="C65" s="7">
        <v>1</v>
      </c>
      <c r="D65" s="5">
        <v>18.3</v>
      </c>
      <c r="E65" s="5">
        <v>16.600000000000001</v>
      </c>
    </row>
    <row r="66" spans="1:5" x14ac:dyDescent="0.15">
      <c r="A66" s="31"/>
      <c r="B66" s="31"/>
      <c r="C66" s="7">
        <v>2</v>
      </c>
      <c r="D66" s="5">
        <v>13.7</v>
      </c>
      <c r="E66" s="5">
        <v>15.6</v>
      </c>
    </row>
    <row r="67" spans="1:5" x14ac:dyDescent="0.15">
      <c r="A67" s="31"/>
      <c r="B67" s="31" t="s">
        <v>17</v>
      </c>
      <c r="C67" s="7">
        <v>1</v>
      </c>
      <c r="D67" s="5">
        <v>17.3</v>
      </c>
      <c r="E67" s="5">
        <v>19.399999999999999</v>
      </c>
    </row>
    <row r="68" spans="1:5" x14ac:dyDescent="0.15">
      <c r="A68" s="31"/>
      <c r="B68" s="31"/>
      <c r="C68" s="7">
        <v>2</v>
      </c>
      <c r="D68" s="5">
        <v>10.8</v>
      </c>
      <c r="E68" s="5">
        <v>12.3</v>
      </c>
    </row>
    <row r="69" spans="1:5" x14ac:dyDescent="0.15">
      <c r="A69" s="31">
        <v>10</v>
      </c>
      <c r="B69" s="31" t="s">
        <v>16</v>
      </c>
      <c r="C69" s="7">
        <v>1</v>
      </c>
      <c r="D69" s="5">
        <v>15.6</v>
      </c>
      <c r="E69" s="5">
        <v>15.7</v>
      </c>
    </row>
    <row r="70" spans="1:5" x14ac:dyDescent="0.15">
      <c r="A70" s="31"/>
      <c r="B70" s="31"/>
      <c r="C70" s="7">
        <v>2</v>
      </c>
      <c r="D70" s="5">
        <v>15.3</v>
      </c>
      <c r="E70" s="5">
        <v>14.3</v>
      </c>
    </row>
    <row r="71" spans="1:5" x14ac:dyDescent="0.15">
      <c r="A71" s="31"/>
      <c r="B71" s="31" t="s">
        <v>17</v>
      </c>
      <c r="C71" s="7">
        <v>1</v>
      </c>
      <c r="D71" s="5">
        <v>18.5</v>
      </c>
      <c r="E71" s="5">
        <v>18</v>
      </c>
    </row>
    <row r="72" spans="1:5" x14ac:dyDescent="0.15">
      <c r="A72" s="31"/>
      <c r="B72" s="31"/>
      <c r="C72" s="7">
        <v>2</v>
      </c>
      <c r="D72" s="5">
        <v>12.8</v>
      </c>
      <c r="E72" s="5">
        <v>12.6</v>
      </c>
    </row>
  </sheetData>
  <mergeCells count="33">
    <mergeCell ref="G1:J1"/>
    <mergeCell ref="A33:A36"/>
    <mergeCell ref="B33:B34"/>
    <mergeCell ref="B35:B36"/>
    <mergeCell ref="A41:A44"/>
    <mergeCell ref="B41:B42"/>
    <mergeCell ref="B43:B44"/>
    <mergeCell ref="A37:A40"/>
    <mergeCell ref="B37:B38"/>
    <mergeCell ref="B39:B40"/>
    <mergeCell ref="D31:E31"/>
    <mergeCell ref="C1:F1"/>
    <mergeCell ref="A45:A48"/>
    <mergeCell ref="B45:B46"/>
    <mergeCell ref="B47:B48"/>
    <mergeCell ref="A49:A52"/>
    <mergeCell ref="B49:B50"/>
    <mergeCell ref="B51:B52"/>
    <mergeCell ref="A53:A56"/>
    <mergeCell ref="B53:B54"/>
    <mergeCell ref="B55:B56"/>
    <mergeCell ref="A57:A60"/>
    <mergeCell ref="B57:B58"/>
    <mergeCell ref="B59:B60"/>
    <mergeCell ref="A69:A72"/>
    <mergeCell ref="B69:B70"/>
    <mergeCell ref="B71:B72"/>
    <mergeCell ref="A61:A64"/>
    <mergeCell ref="B61:B62"/>
    <mergeCell ref="B63:B64"/>
    <mergeCell ref="A65:A68"/>
    <mergeCell ref="B65:B66"/>
    <mergeCell ref="B67:B68"/>
  </mergeCells>
  <phoneticPr fontId="3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73"/>
  <sheetViews>
    <sheetView tabSelected="1" topLeftCell="C1" workbookViewId="0">
      <selection activeCell="E104" sqref="E104"/>
    </sheetView>
  </sheetViews>
  <sheetFormatPr defaultColWidth="13" defaultRowHeight="14.25" x14ac:dyDescent="0.15"/>
  <cols>
    <col min="14" max="14" width="13.125" customWidth="1"/>
    <col min="21" max="21" width="4.375" customWidth="1"/>
    <col min="36" max="36" width="3.875" customWidth="1"/>
    <col min="55" max="55" width="3.875" customWidth="1"/>
  </cols>
  <sheetData>
    <row r="1" spans="1:8" x14ac:dyDescent="0.15">
      <c r="A1">
        <v>5.5262076399999999E-2</v>
      </c>
      <c r="B1">
        <v>4.8952799800000002E-2</v>
      </c>
      <c r="C1">
        <v>-0.404196412</v>
      </c>
      <c r="D1">
        <v>0.54267375949999996</v>
      </c>
      <c r="E1">
        <v>0.79766297789999996</v>
      </c>
      <c r="F1">
        <v>1.5475375375</v>
      </c>
      <c r="G1">
        <v>1.3370950357</v>
      </c>
      <c r="H1">
        <v>-0.56740974099999997</v>
      </c>
    </row>
    <row r="2" spans="1:8" x14ac:dyDescent="0.15">
      <c r="A2">
        <v>-1.5968191030000001</v>
      </c>
      <c r="B2">
        <v>-0.62781954799999995</v>
      </c>
      <c r="C2">
        <v>-0.20098227599999999</v>
      </c>
      <c r="D2">
        <v>-0.62765152199999996</v>
      </c>
      <c r="E2">
        <v>0.49266286869999998</v>
      </c>
      <c r="F2">
        <v>4.5570592100000001E-2</v>
      </c>
      <c r="G2">
        <v>-0.48062906</v>
      </c>
      <c r="H2">
        <v>-0.44820585899999998</v>
      </c>
    </row>
    <row r="3" spans="1:8" x14ac:dyDescent="0.15">
      <c r="A3">
        <v>-0.31370771400000003</v>
      </c>
      <c r="B3">
        <v>1.5713561733999999</v>
      </c>
      <c r="C3">
        <v>-2.2248111910000001</v>
      </c>
      <c r="D3">
        <v>0.1717524715</v>
      </c>
      <c r="E3">
        <v>-0.51091618500000002</v>
      </c>
      <c r="F3">
        <v>-0.394818681</v>
      </c>
      <c r="G3">
        <v>1.3630290121999999</v>
      </c>
      <c r="H3">
        <v>-0.71664690600000003</v>
      </c>
    </row>
    <row r="4" spans="1:8" x14ac:dyDescent="0.15">
      <c r="A4">
        <v>-0.27006029300000001</v>
      </c>
      <c r="B4">
        <v>1.0645117327</v>
      </c>
      <c r="C4">
        <v>-1.7004640740000001</v>
      </c>
      <c r="D4">
        <v>-1.3748959860000001</v>
      </c>
      <c r="E4">
        <v>1.3477539081000001</v>
      </c>
      <c r="F4">
        <v>0.90671436510000003</v>
      </c>
      <c r="G4">
        <v>0.7014430733</v>
      </c>
      <c r="H4">
        <v>1.0895133184000001</v>
      </c>
    </row>
    <row r="5" spans="1:8" x14ac:dyDescent="0.15">
      <c r="A5">
        <v>-6.1605024000000001E-2</v>
      </c>
      <c r="B5">
        <v>-0.85360759900000005</v>
      </c>
      <c r="C5">
        <v>0.81638622299999997</v>
      </c>
      <c r="D5">
        <v>0.50176511020000003</v>
      </c>
      <c r="E5">
        <v>-0.62697910899999998</v>
      </c>
      <c r="F5">
        <v>-0.28617574400000001</v>
      </c>
      <c r="G5">
        <v>0.1050607414</v>
      </c>
      <c r="H5">
        <v>0.59038257039999997</v>
      </c>
    </row>
    <row r="6" spans="1:8" x14ac:dyDescent="0.15">
      <c r="A6">
        <v>0.38123334809999998</v>
      </c>
      <c r="B6">
        <v>-2.0563698769999998</v>
      </c>
      <c r="C6">
        <v>-0.71427104900000005</v>
      </c>
      <c r="D6">
        <v>-0.59150678099999998</v>
      </c>
      <c r="E6">
        <v>0.87387372330000002</v>
      </c>
      <c r="F6">
        <v>-0.66192663200000001</v>
      </c>
      <c r="G6">
        <v>-1.352317349</v>
      </c>
      <c r="H6">
        <v>1.7744915100000001E-2</v>
      </c>
    </row>
    <row r="7" spans="1:8" x14ac:dyDescent="0.15">
      <c r="A7">
        <v>0.80996848529999999</v>
      </c>
      <c r="B7">
        <v>-1.374102543</v>
      </c>
      <c r="C7">
        <v>9.6574313499999995E-2</v>
      </c>
      <c r="D7">
        <v>-0.54159507299999998</v>
      </c>
      <c r="E7">
        <v>-1.1773619070000001</v>
      </c>
      <c r="F7">
        <v>-0.62582382999999997</v>
      </c>
      <c r="G7">
        <v>0.64988152610000005</v>
      </c>
      <c r="H7">
        <v>1.0574759959</v>
      </c>
    </row>
    <row r="8" spans="1:8" x14ac:dyDescent="0.15">
      <c r="A8">
        <v>-0.48436214999999999</v>
      </c>
      <c r="B8">
        <v>0.26390677890000003</v>
      </c>
      <c r="C8">
        <v>0.47681350480000001</v>
      </c>
      <c r="D8">
        <v>-1.1886055360000001</v>
      </c>
      <c r="E8">
        <v>-0.85270477200000006</v>
      </c>
      <c r="F8">
        <v>-0.51611001499999998</v>
      </c>
      <c r="G8">
        <v>-0.75170863300000001</v>
      </c>
      <c r="H8">
        <v>2.4082909600000001E-2</v>
      </c>
    </row>
    <row r="9" spans="1:8" x14ac:dyDescent="0.15">
      <c r="A9">
        <v>-1.0812531519999999</v>
      </c>
      <c r="B9">
        <v>-0.37858569600000003</v>
      </c>
      <c r="C9">
        <v>-1.1408174449999999</v>
      </c>
      <c r="D9">
        <v>0.61042161039999998</v>
      </c>
      <c r="E9">
        <v>0.30163100599999998</v>
      </c>
      <c r="F9">
        <v>-0.62459184599999995</v>
      </c>
      <c r="G9">
        <v>0.66447440700000004</v>
      </c>
      <c r="H9">
        <v>-0.47151265799999997</v>
      </c>
    </row>
    <row r="10" spans="1:8" x14ac:dyDescent="0.15">
      <c r="A10">
        <v>-0.82964346600000005</v>
      </c>
      <c r="B10">
        <v>0.14603520789999999</v>
      </c>
      <c r="C10">
        <v>1.1444637868</v>
      </c>
      <c r="D10">
        <v>-1.097484404</v>
      </c>
      <c r="E10">
        <v>1.2600503897999999</v>
      </c>
      <c r="F10">
        <v>0.93364793700000004</v>
      </c>
      <c r="G10">
        <v>-0.46217219700000001</v>
      </c>
      <c r="H10">
        <v>-1.9605261999999998E-2</v>
      </c>
    </row>
    <row r="11" spans="1:8" x14ac:dyDescent="0.15">
      <c r="A11">
        <v>-0.57072717399999995</v>
      </c>
      <c r="B11">
        <v>0.13101556710000001</v>
      </c>
      <c r="C11">
        <v>0.48644436499999999</v>
      </c>
      <c r="D11">
        <v>-7.3599520000000003E-3</v>
      </c>
      <c r="E11">
        <v>0.76768696830000005</v>
      </c>
      <c r="F11">
        <v>-0.62837884200000005</v>
      </c>
      <c r="G11">
        <v>2.4669344883000002</v>
      </c>
      <c r="H11">
        <v>-0.94727883099999999</v>
      </c>
    </row>
    <row r="12" spans="1:8" x14ac:dyDescent="0.15">
      <c r="A12">
        <v>1.8501610586999999</v>
      </c>
      <c r="B12">
        <v>0.94962565060000004</v>
      </c>
      <c r="C12">
        <v>-0.33723418599999999</v>
      </c>
      <c r="D12">
        <v>1.2898308028000001</v>
      </c>
      <c r="E12">
        <v>-0.52641593799999997</v>
      </c>
      <c r="F12">
        <v>-0.33149414500000002</v>
      </c>
      <c r="G12">
        <v>0.98456676990000003</v>
      </c>
      <c r="H12">
        <v>1.0153593794</v>
      </c>
    </row>
    <row r="13" spans="1:8" x14ac:dyDescent="0.15">
      <c r="A13">
        <v>-0.45395245400000001</v>
      </c>
      <c r="B13">
        <v>1.2827063311</v>
      </c>
      <c r="C13">
        <v>0.66765320419999996</v>
      </c>
      <c r="D13">
        <v>1.1475441339000001</v>
      </c>
      <c r="E13">
        <v>0.41926960169999999</v>
      </c>
      <c r="F13">
        <v>-4.8414407999999999E-2</v>
      </c>
      <c r="G13">
        <v>0.90005075329999995</v>
      </c>
      <c r="H13">
        <v>-0.34047641699999998</v>
      </c>
    </row>
    <row r="14" spans="1:8" x14ac:dyDescent="0.15">
      <c r="A14">
        <v>0.98920421599999997</v>
      </c>
      <c r="B14">
        <v>-1.016789545</v>
      </c>
      <c r="C14">
        <v>0.74914626169999998</v>
      </c>
      <c r="D14">
        <v>-8.1431679999999992E-3</v>
      </c>
      <c r="E14">
        <v>1.5129912807999999</v>
      </c>
      <c r="F14">
        <v>-0.549249875</v>
      </c>
      <c r="G14">
        <v>0.65524194560000004</v>
      </c>
      <c r="H14">
        <v>-1.116675179</v>
      </c>
    </row>
    <row r="15" spans="1:8" x14ac:dyDescent="0.15">
      <c r="A15">
        <v>-0.47866511699999997</v>
      </c>
      <c r="B15">
        <v>1.3486274649000001</v>
      </c>
      <c r="C15">
        <v>0.657091753</v>
      </c>
      <c r="D15">
        <v>-0.38885313300000002</v>
      </c>
      <c r="E15">
        <v>4.0934398699999999E-2</v>
      </c>
      <c r="F15">
        <v>1.9730711408999999</v>
      </c>
      <c r="G15">
        <v>1.5954482086999999</v>
      </c>
      <c r="H15">
        <v>-0.81767793799999999</v>
      </c>
    </row>
    <row r="16" spans="1:8" x14ac:dyDescent="0.15">
      <c r="A16">
        <v>-0.91695419700000003</v>
      </c>
      <c r="B16">
        <v>1.0794733426000001</v>
      </c>
      <c r="C16">
        <v>1.1083699024</v>
      </c>
      <c r="D16">
        <v>0.96851150249999995</v>
      </c>
      <c r="E16">
        <v>0.37121068899999998</v>
      </c>
      <c r="F16">
        <v>-0.49574449700000001</v>
      </c>
      <c r="G16">
        <v>-2.4139936550000001</v>
      </c>
      <c r="H16">
        <v>-0.30383553099999999</v>
      </c>
    </row>
    <row r="17" spans="1:12" x14ac:dyDescent="0.15">
      <c r="A17">
        <v>9.3388322600000004E-2</v>
      </c>
      <c r="B17">
        <v>0.79148502779999996</v>
      </c>
      <c r="C17">
        <v>-0.59529983399999997</v>
      </c>
      <c r="D17">
        <v>-0.115125808</v>
      </c>
      <c r="E17">
        <v>1.0041128973</v>
      </c>
      <c r="F17">
        <v>-0.85869258000000004</v>
      </c>
      <c r="G17">
        <v>1.6901383227</v>
      </c>
      <c r="H17">
        <v>0.43083171190000003</v>
      </c>
    </row>
    <row r="18" spans="1:12" x14ac:dyDescent="0.15">
      <c r="A18">
        <v>0.50736927409999999</v>
      </c>
      <c r="B18">
        <v>-0.23510419299999999</v>
      </c>
      <c r="C18">
        <v>-1.699273378</v>
      </c>
      <c r="D18">
        <v>0.98857990110000005</v>
      </c>
      <c r="E18">
        <v>1.3174215549999999</v>
      </c>
      <c r="F18">
        <v>-0.38056050299999999</v>
      </c>
      <c r="G18">
        <v>0.1099931086</v>
      </c>
      <c r="H18">
        <v>0.97082146069999997</v>
      </c>
    </row>
    <row r="19" spans="1:12" x14ac:dyDescent="0.15">
      <c r="A19">
        <v>0.59980941060000004</v>
      </c>
      <c r="B19">
        <v>0.36122447860000001</v>
      </c>
      <c r="C19">
        <v>0.91222661930000004</v>
      </c>
      <c r="D19">
        <v>-0.40976911300000002</v>
      </c>
      <c r="E19">
        <v>0.31135585040000002</v>
      </c>
      <c r="F19">
        <v>0.53405756240000002</v>
      </c>
      <c r="G19">
        <v>-0.78531721099999996</v>
      </c>
      <c r="H19">
        <v>-0.58376124299999999</v>
      </c>
    </row>
    <row r="20" spans="1:12" x14ac:dyDescent="0.15">
      <c r="A20">
        <v>3.2517186199999999E-2</v>
      </c>
      <c r="B20">
        <v>5.7001651200000003E-2</v>
      </c>
      <c r="C20">
        <v>0.65840180569999995</v>
      </c>
      <c r="D20">
        <v>-0.211660182</v>
      </c>
      <c r="E20">
        <v>-7.5795653000000004E-2</v>
      </c>
      <c r="F20">
        <v>1.3912646150000001</v>
      </c>
      <c r="G20">
        <v>0.53014827819999999</v>
      </c>
      <c r="H20">
        <v>1.8960579248</v>
      </c>
    </row>
    <row r="21" spans="1:12" x14ac:dyDescent="0.15">
      <c r="A21">
        <v>-1.0767444390000001</v>
      </c>
      <c r="B21">
        <v>8.30565682E-2</v>
      </c>
      <c r="C21">
        <v>0.77618975379999999</v>
      </c>
      <c r="D21">
        <v>0.71527893720000002</v>
      </c>
      <c r="E21">
        <v>-4.1490925999999997E-2</v>
      </c>
      <c r="F21">
        <v>1.3227830135</v>
      </c>
      <c r="G21">
        <v>-1.3040767999999999E-2</v>
      </c>
      <c r="H21">
        <v>-0.98984832300000003</v>
      </c>
    </row>
    <row r="22" spans="1:12" x14ac:dyDescent="0.15">
      <c r="A22">
        <v>-0.85682406200000005</v>
      </c>
      <c r="B22">
        <v>0.3992287565</v>
      </c>
      <c r="C22">
        <v>-0.34679842700000002</v>
      </c>
      <c r="D22">
        <v>0.64121619490000004</v>
      </c>
      <c r="E22">
        <v>0.98240718910000002</v>
      </c>
      <c r="F22">
        <v>1.5969478590999999</v>
      </c>
      <c r="G22">
        <v>1.0478528970000001</v>
      </c>
      <c r="H22">
        <v>-2.474234633</v>
      </c>
    </row>
    <row r="23" spans="1:12" x14ac:dyDescent="0.15">
      <c r="A23">
        <v>0.40012999119999998</v>
      </c>
      <c r="B23">
        <v>0.65642763719999997</v>
      </c>
      <c r="C23">
        <v>2.0090795896999998</v>
      </c>
      <c r="D23">
        <v>-1.0972897660000001</v>
      </c>
      <c r="E23">
        <v>-0.80502264700000004</v>
      </c>
      <c r="F23">
        <v>-0.10769221800000001</v>
      </c>
      <c r="G23">
        <v>-0.83520400699999997</v>
      </c>
      <c r="H23">
        <v>-1.9306487939999999</v>
      </c>
    </row>
    <row r="24" spans="1:12" x14ac:dyDescent="0.15">
      <c r="A24">
        <v>1.8571280605</v>
      </c>
      <c r="B24">
        <v>-1.1411510300000001</v>
      </c>
      <c r="C24">
        <v>-1.200739115</v>
      </c>
      <c r="D24">
        <v>1.1091452879999999</v>
      </c>
      <c r="E24">
        <v>0.1849453381</v>
      </c>
      <c r="F24">
        <v>-1.951543842</v>
      </c>
      <c r="G24">
        <v>1.4764127788000001</v>
      </c>
      <c r="H24">
        <v>-0.61238189899999995</v>
      </c>
    </row>
    <row r="25" spans="1:12" x14ac:dyDescent="0.15">
      <c r="A25">
        <v>-8.8172889000000004E-2</v>
      </c>
      <c r="B25">
        <v>-0.464141574</v>
      </c>
      <c r="C25">
        <v>0.13689504290000001</v>
      </c>
      <c r="D25">
        <v>1.4937828179999999</v>
      </c>
      <c r="E25">
        <v>-3.7855874999999997E-2</v>
      </c>
      <c r="F25">
        <v>0.14184825770000001</v>
      </c>
      <c r="G25">
        <v>0.21704941229999999</v>
      </c>
      <c r="H25">
        <v>0.64388403549999995</v>
      </c>
    </row>
    <row r="27" spans="1:12" x14ac:dyDescent="0.15">
      <c r="B27" t="s">
        <v>11</v>
      </c>
      <c r="C27">
        <v>17</v>
      </c>
      <c r="H27">
        <v>15</v>
      </c>
    </row>
    <row r="28" spans="1:12" x14ac:dyDescent="0.15">
      <c r="B28" t="s">
        <v>12</v>
      </c>
      <c r="C28">
        <v>1</v>
      </c>
      <c r="H28">
        <v>3</v>
      </c>
    </row>
    <row r="31" spans="1:12" ht="12.9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ht="20.100000000000001" customHeight="1" x14ac:dyDescent="0.15">
      <c r="A32" s="3" t="s">
        <v>0</v>
      </c>
      <c r="B32" s="3" t="s">
        <v>1</v>
      </c>
      <c r="C32" s="32" t="s">
        <v>3</v>
      </c>
      <c r="D32" s="32"/>
      <c r="E32" s="32"/>
      <c r="F32" s="32"/>
      <c r="G32" s="32" t="s">
        <v>5</v>
      </c>
      <c r="H32" s="32"/>
      <c r="I32" s="32"/>
      <c r="J32" s="32"/>
      <c r="L32" t="s">
        <v>13</v>
      </c>
    </row>
    <row r="33" spans="1:27" x14ac:dyDescent="0.15">
      <c r="A33" s="4">
        <v>42499</v>
      </c>
      <c r="B33" s="3" t="s">
        <v>6</v>
      </c>
      <c r="C33" s="5">
        <f>ROUND($L33+$C$28*A1,1)</f>
        <v>17.600000000000001</v>
      </c>
      <c r="D33" s="5">
        <f t="shared" ref="D33:F33" si="0">ROUND($L33+$C$28*B1,1)</f>
        <v>17.5</v>
      </c>
      <c r="E33" s="5">
        <f t="shared" si="0"/>
        <v>17.100000000000001</v>
      </c>
      <c r="F33" s="5">
        <f t="shared" si="0"/>
        <v>18</v>
      </c>
      <c r="G33" s="5">
        <f>ROUND($H$27+$H$28*E1,1)</f>
        <v>17.399999999999999</v>
      </c>
      <c r="H33" s="5">
        <f t="shared" ref="H33:J33" si="1">ROUND($H$27+$H$28*F1,1)</f>
        <v>19.600000000000001</v>
      </c>
      <c r="I33" s="5">
        <f t="shared" si="1"/>
        <v>19</v>
      </c>
      <c r="J33" s="5">
        <f t="shared" si="1"/>
        <v>13.3</v>
      </c>
      <c r="L33">
        <v>17.5</v>
      </c>
      <c r="N33" s="11" t="s">
        <v>64</v>
      </c>
      <c r="O33" s="11"/>
      <c r="P33" s="11"/>
      <c r="Q33" s="11"/>
      <c r="R33" s="11"/>
      <c r="S33" s="11"/>
      <c r="T33" s="11"/>
      <c r="V33" s="11" t="s">
        <v>67</v>
      </c>
      <c r="W33" s="11"/>
      <c r="X33" s="11"/>
      <c r="Y33" s="11"/>
      <c r="Z33" s="11"/>
      <c r="AA33" s="11"/>
    </row>
    <row r="34" spans="1:27" x14ac:dyDescent="0.15">
      <c r="A34" s="4">
        <v>42500</v>
      </c>
      <c r="B34" s="3" t="s">
        <v>7</v>
      </c>
      <c r="C34" s="5">
        <f t="shared" ref="C34:C57" si="2">ROUND($L34+$C$28*A2,1)</f>
        <v>15.7</v>
      </c>
      <c r="D34" s="5">
        <f t="shared" ref="D34:D57" si="3">ROUND($L34+$C$28*B2,1)</f>
        <v>16.7</v>
      </c>
      <c r="E34" s="5">
        <f t="shared" ref="E34:E57" si="4">ROUND($L34+$C$28*C2,1)</f>
        <v>17.100000000000001</v>
      </c>
      <c r="F34" s="5">
        <f>ROUND($L34+$C$28*D2,1)</f>
        <v>16.7</v>
      </c>
      <c r="G34" s="5">
        <f t="shared" ref="G34:G57" si="5">ROUND($H$27+$H$28*E2,1)</f>
        <v>16.5</v>
      </c>
      <c r="H34" s="5">
        <f t="shared" ref="H34:H57" si="6">ROUND($H$27+$H$28*F2,1)</f>
        <v>15.1</v>
      </c>
      <c r="I34" s="5">
        <f t="shared" ref="I34:I57" si="7">ROUND($H$27+$H$28*G2,1)</f>
        <v>13.6</v>
      </c>
      <c r="J34" s="5">
        <f t="shared" ref="J34:J57" si="8">ROUND($H$27+$H$28*H2,1)</f>
        <v>13.7</v>
      </c>
      <c r="L34" s="2">
        <f>L33-0.2</f>
        <v>17.3</v>
      </c>
      <c r="N34" t="s">
        <v>38</v>
      </c>
      <c r="O34" s="2">
        <f>MAX(C33:J57)</f>
        <v>22.4</v>
      </c>
      <c r="Q34">
        <f>COUNT(C33:J57)</f>
        <v>200</v>
      </c>
      <c r="S34" t="s">
        <v>45</v>
      </c>
      <c r="T34" s="2">
        <f>AVERAGE(C33:J57)</f>
        <v>15.277499999999996</v>
      </c>
      <c r="V34" t="s">
        <v>45</v>
      </c>
      <c r="W34" s="2">
        <f>AVERAGE(C33:F57)</f>
        <v>15.132999999999999</v>
      </c>
      <c r="X34" s="2">
        <f>AVERAGE(G33:J57)</f>
        <v>15.422000000000001</v>
      </c>
    </row>
    <row r="35" spans="1:27" x14ac:dyDescent="0.15">
      <c r="A35" s="4">
        <v>42501</v>
      </c>
      <c r="B35" s="3" t="s">
        <v>8</v>
      </c>
      <c r="C35" s="5">
        <f t="shared" si="2"/>
        <v>16.8</v>
      </c>
      <c r="D35" s="5">
        <f t="shared" si="3"/>
        <v>18.7</v>
      </c>
      <c r="E35" s="5">
        <f t="shared" si="4"/>
        <v>14.9</v>
      </c>
      <c r="F35" s="5">
        <f t="shared" ref="F35:F57" si="9">ROUND($L35+$C$28*D3,1)</f>
        <v>17.3</v>
      </c>
      <c r="G35" s="5">
        <f t="shared" si="5"/>
        <v>13.5</v>
      </c>
      <c r="H35" s="5">
        <f t="shared" si="6"/>
        <v>13.8</v>
      </c>
      <c r="I35" s="5">
        <f t="shared" si="7"/>
        <v>19.100000000000001</v>
      </c>
      <c r="J35" s="5">
        <f t="shared" si="8"/>
        <v>12.9</v>
      </c>
      <c r="L35" s="2">
        <f t="shared" ref="L35:L57" si="10">L34-0.2</f>
        <v>17.100000000000001</v>
      </c>
      <c r="N35" t="s">
        <v>39</v>
      </c>
      <c r="O35" s="2">
        <f>MIN(C33:J57)</f>
        <v>7.6</v>
      </c>
      <c r="S35" t="s">
        <v>46</v>
      </c>
      <c r="T35">
        <f>_xlfn.VAR.S(C33:J57)</f>
        <v>5.3622550251257879</v>
      </c>
      <c r="V35" t="s">
        <v>46</v>
      </c>
      <c r="W35">
        <f>_xlfn.VAR.S(C33:F57)</f>
        <v>2.2929404040404036</v>
      </c>
      <c r="X35">
        <f>_xlfn.VAR.S(G33:J57)</f>
        <v>8.4435515151515457</v>
      </c>
    </row>
    <row r="36" spans="1:27" x14ac:dyDescent="0.15">
      <c r="A36" s="4">
        <v>42502</v>
      </c>
      <c r="B36" s="3" t="s">
        <v>9</v>
      </c>
      <c r="C36" s="5">
        <f t="shared" si="2"/>
        <v>16.600000000000001</v>
      </c>
      <c r="D36" s="5">
        <f t="shared" si="3"/>
        <v>18</v>
      </c>
      <c r="E36" s="5">
        <f t="shared" si="4"/>
        <v>15.2</v>
      </c>
      <c r="F36" s="5">
        <f t="shared" si="9"/>
        <v>15.5</v>
      </c>
      <c r="G36" s="5">
        <f t="shared" si="5"/>
        <v>19</v>
      </c>
      <c r="H36" s="5">
        <f t="shared" si="6"/>
        <v>17.7</v>
      </c>
      <c r="I36" s="5">
        <f t="shared" si="7"/>
        <v>17.100000000000001</v>
      </c>
      <c r="J36" s="5">
        <f t="shared" si="8"/>
        <v>18.3</v>
      </c>
      <c r="L36" s="2">
        <f t="shared" si="10"/>
        <v>16.900000000000002</v>
      </c>
      <c r="N36" t="s">
        <v>40</v>
      </c>
      <c r="O36">
        <f>SQRT(200)</f>
        <v>14.142135623730951</v>
      </c>
      <c r="Q36">
        <f>SQRT(Q34)</f>
        <v>14.142135623730951</v>
      </c>
      <c r="S36" t="s">
        <v>47</v>
      </c>
      <c r="T36">
        <f>SQRT(T35)</f>
        <v>2.3156543405970131</v>
      </c>
      <c r="V36" t="s">
        <v>47</v>
      </c>
      <c r="W36">
        <f>SQRT(W35)</f>
        <v>1.5142458202155962</v>
      </c>
      <c r="X36">
        <f>SQRT(X35)</f>
        <v>2.9057789859436221</v>
      </c>
    </row>
    <row r="37" spans="1:27" x14ac:dyDescent="0.15">
      <c r="A37" s="4">
        <v>42503</v>
      </c>
      <c r="B37" s="3" t="s">
        <v>10</v>
      </c>
      <c r="C37" s="5">
        <f t="shared" si="2"/>
        <v>16.600000000000001</v>
      </c>
      <c r="D37" s="5">
        <f t="shared" si="3"/>
        <v>15.8</v>
      </c>
      <c r="E37" s="5">
        <f t="shared" si="4"/>
        <v>17.5</v>
      </c>
      <c r="F37" s="5">
        <f t="shared" si="9"/>
        <v>17.2</v>
      </c>
      <c r="G37" s="5">
        <f t="shared" si="5"/>
        <v>13.1</v>
      </c>
      <c r="H37" s="5">
        <f t="shared" si="6"/>
        <v>14.1</v>
      </c>
      <c r="I37" s="5">
        <f t="shared" si="7"/>
        <v>15.3</v>
      </c>
      <c r="J37" s="5">
        <f t="shared" si="8"/>
        <v>16.8</v>
      </c>
      <c r="L37" s="2">
        <f t="shared" si="10"/>
        <v>16.700000000000003</v>
      </c>
      <c r="N37" t="s">
        <v>41</v>
      </c>
      <c r="O37">
        <f>(O34-O35)/O36</f>
        <v>1.0465180361560902</v>
      </c>
      <c r="Q37">
        <f>(O34-O35)/14.142</f>
        <v>1.0465280724084287</v>
      </c>
      <c r="S37" t="s">
        <v>48</v>
      </c>
      <c r="T37">
        <f>8/(6*T36)</f>
        <v>0.57579117485625186</v>
      </c>
      <c r="V37" t="s">
        <v>48</v>
      </c>
      <c r="W37">
        <f>8/(6*W36)</f>
        <v>0.88052634224441517</v>
      </c>
      <c r="X37">
        <f>8/(6*X36)</f>
        <v>0.45885572845807709</v>
      </c>
    </row>
    <row r="38" spans="1:27" x14ac:dyDescent="0.15">
      <c r="A38" s="4">
        <v>42506</v>
      </c>
      <c r="B38" s="3" t="s">
        <v>6</v>
      </c>
      <c r="C38" s="5">
        <f t="shared" si="2"/>
        <v>16.899999999999999</v>
      </c>
      <c r="D38" s="5">
        <f t="shared" si="3"/>
        <v>14.4</v>
      </c>
      <c r="E38" s="5">
        <f t="shared" si="4"/>
        <v>15.8</v>
      </c>
      <c r="F38" s="5">
        <f t="shared" si="9"/>
        <v>15.9</v>
      </c>
      <c r="G38" s="5">
        <f t="shared" si="5"/>
        <v>17.600000000000001</v>
      </c>
      <c r="H38" s="5">
        <f t="shared" si="6"/>
        <v>13</v>
      </c>
      <c r="I38" s="5">
        <f t="shared" si="7"/>
        <v>10.9</v>
      </c>
      <c r="J38" s="5">
        <f t="shared" si="8"/>
        <v>15.1</v>
      </c>
      <c r="L38" s="2">
        <f t="shared" si="10"/>
        <v>16.500000000000004</v>
      </c>
      <c r="N38" t="s">
        <v>41</v>
      </c>
      <c r="O38" s="2">
        <v>1</v>
      </c>
      <c r="S38" t="s">
        <v>49</v>
      </c>
      <c r="T38">
        <f>MIN( (19-T34)/(3*T36), (T34-11)/(3*T36) )</f>
        <v>0.53584566210059992</v>
      </c>
      <c r="V38" t="s">
        <v>49</v>
      </c>
      <c r="W38">
        <f>MIN( (19-W34)/(3*W36), (W34-11)/(3*W36) )</f>
        <v>0.85124884136478851</v>
      </c>
      <c r="X38">
        <f>MIN( (19-X34)/(3*X36), (X34-11)/(3*X36) )</f>
        <v>0.4104464491057499</v>
      </c>
    </row>
    <row r="39" spans="1:27" x14ac:dyDescent="0.15">
      <c r="A39" s="4">
        <v>42507</v>
      </c>
      <c r="B39" s="3" t="s">
        <v>7</v>
      </c>
      <c r="C39" s="5">
        <f t="shared" si="2"/>
        <v>17.100000000000001</v>
      </c>
      <c r="D39" s="5">
        <f t="shared" si="3"/>
        <v>14.9</v>
      </c>
      <c r="E39" s="5">
        <f t="shared" si="4"/>
        <v>16.399999999999999</v>
      </c>
      <c r="F39" s="5">
        <f t="shared" si="9"/>
        <v>15.8</v>
      </c>
      <c r="G39" s="5">
        <f t="shared" si="5"/>
        <v>11.5</v>
      </c>
      <c r="H39" s="5">
        <f t="shared" si="6"/>
        <v>13.1</v>
      </c>
      <c r="I39" s="5">
        <f t="shared" si="7"/>
        <v>16.899999999999999</v>
      </c>
      <c r="J39" s="5">
        <f t="shared" si="8"/>
        <v>18.2</v>
      </c>
      <c r="L39" s="2">
        <f t="shared" si="10"/>
        <v>16.300000000000004</v>
      </c>
      <c r="W39" t="s">
        <v>69</v>
      </c>
      <c r="X39" t="s">
        <v>70</v>
      </c>
    </row>
    <row r="40" spans="1:27" x14ac:dyDescent="0.15">
      <c r="A40" s="4">
        <v>42508</v>
      </c>
      <c r="B40" s="3" t="s">
        <v>8</v>
      </c>
      <c r="C40" s="5">
        <f t="shared" si="2"/>
        <v>15.6</v>
      </c>
      <c r="D40" s="5">
        <f t="shared" si="3"/>
        <v>16.399999999999999</v>
      </c>
      <c r="E40" s="5">
        <f t="shared" si="4"/>
        <v>16.600000000000001</v>
      </c>
      <c r="F40" s="5">
        <f t="shared" si="9"/>
        <v>14.9</v>
      </c>
      <c r="G40" s="5">
        <f t="shared" si="5"/>
        <v>12.4</v>
      </c>
      <c r="H40" s="5">
        <f t="shared" si="6"/>
        <v>13.5</v>
      </c>
      <c r="I40" s="5">
        <f t="shared" si="7"/>
        <v>12.7</v>
      </c>
      <c r="J40" s="5">
        <f t="shared" si="8"/>
        <v>15.1</v>
      </c>
      <c r="L40" s="2">
        <f t="shared" si="10"/>
        <v>16.100000000000005</v>
      </c>
      <c r="N40" t="s">
        <v>42</v>
      </c>
      <c r="O40" t="s">
        <v>43</v>
      </c>
      <c r="P40" t="s">
        <v>44</v>
      </c>
      <c r="Q40" t="s">
        <v>68</v>
      </c>
      <c r="S40" t="s">
        <v>65</v>
      </c>
      <c r="T40" t="s">
        <v>66</v>
      </c>
      <c r="V40" t="s">
        <v>65</v>
      </c>
      <c r="W40" t="s">
        <v>68</v>
      </c>
      <c r="X40" t="s">
        <v>68</v>
      </c>
      <c r="Y40" t="s">
        <v>65</v>
      </c>
      <c r="Z40" t="s">
        <v>66</v>
      </c>
    </row>
    <row r="41" spans="1:27" x14ac:dyDescent="0.15">
      <c r="A41" s="4">
        <v>42509</v>
      </c>
      <c r="B41" s="3" t="s">
        <v>9</v>
      </c>
      <c r="C41" s="5">
        <f t="shared" si="2"/>
        <v>14.8</v>
      </c>
      <c r="D41" s="5">
        <f t="shared" si="3"/>
        <v>15.5</v>
      </c>
      <c r="E41" s="5">
        <f t="shared" si="4"/>
        <v>14.8</v>
      </c>
      <c r="F41" s="5">
        <f t="shared" si="9"/>
        <v>16.5</v>
      </c>
      <c r="G41" s="5">
        <f t="shared" si="5"/>
        <v>15.9</v>
      </c>
      <c r="H41" s="5">
        <f t="shared" si="6"/>
        <v>13.1</v>
      </c>
      <c r="I41" s="5">
        <f t="shared" si="7"/>
        <v>17</v>
      </c>
      <c r="J41" s="5">
        <f t="shared" si="8"/>
        <v>13.6</v>
      </c>
      <c r="L41" s="2">
        <f t="shared" si="10"/>
        <v>15.900000000000006</v>
      </c>
      <c r="M41">
        <v>1</v>
      </c>
      <c r="N41" s="13">
        <f>O35-0.05</f>
        <v>7.55</v>
      </c>
      <c r="O41" s="13">
        <f>N41+O$38</f>
        <v>8.5500000000000007</v>
      </c>
      <c r="P41" s="14">
        <f>(N41+O41)/2</f>
        <v>8.0500000000000007</v>
      </c>
      <c r="Q41">
        <f>COUNTIFS($C$33:$J$57,"&gt;7.55",$C$33:$J$57, "&lt;8.55")</f>
        <v>2</v>
      </c>
      <c r="W41">
        <f>COUNTIFS($C$33:$F$57,"&gt;7.55",$C$33:$F$57, "&lt;8.55")</f>
        <v>0</v>
      </c>
      <c r="X41">
        <f>COUNTIFS($G$33:$J$57,"&gt;7.55",$G$33:$J$57, "&lt;8.55")</f>
        <v>2</v>
      </c>
    </row>
    <row r="42" spans="1:27" x14ac:dyDescent="0.15">
      <c r="A42" s="4">
        <v>42510</v>
      </c>
      <c r="B42" s="3" t="s">
        <v>10</v>
      </c>
      <c r="C42" s="5">
        <f t="shared" si="2"/>
        <v>14.9</v>
      </c>
      <c r="D42" s="5">
        <f t="shared" si="3"/>
        <v>15.8</v>
      </c>
      <c r="E42" s="5">
        <f t="shared" si="4"/>
        <v>16.8</v>
      </c>
      <c r="F42" s="5">
        <f t="shared" si="9"/>
        <v>14.6</v>
      </c>
      <c r="G42" s="5">
        <f t="shared" si="5"/>
        <v>18.8</v>
      </c>
      <c r="H42" s="5">
        <f t="shared" si="6"/>
        <v>17.8</v>
      </c>
      <c r="I42" s="5">
        <f t="shared" si="7"/>
        <v>13.6</v>
      </c>
      <c r="J42" s="5">
        <f t="shared" si="8"/>
        <v>14.9</v>
      </c>
      <c r="L42" s="2">
        <f t="shared" si="10"/>
        <v>15.700000000000006</v>
      </c>
      <c r="M42">
        <v>2</v>
      </c>
      <c r="N42" s="13">
        <f>N41+O$38</f>
        <v>8.5500000000000007</v>
      </c>
      <c r="O42" s="13">
        <f t="shared" ref="O42:O55" si="11">N42+O$38</f>
        <v>9.5500000000000007</v>
      </c>
      <c r="P42" s="14">
        <f t="shared" ref="P42:P55" si="12">(N42+O42)/2</f>
        <v>9.0500000000000007</v>
      </c>
      <c r="Q42">
        <f>COUNTIFS($C$33:$J$57,"&gt;8.55",$C$33:$J$57, "&lt;9.55")</f>
        <v>2</v>
      </c>
      <c r="W42">
        <f>COUNTIFS($C$33:$F$57,"&gt;8.55",$C$33:$F$57, "&lt;9.55")</f>
        <v>0</v>
      </c>
      <c r="X42">
        <f>COUNTIFS($G$33:$J$57,"&gt;8.55",$G$33:$J$57, "&lt;9.55")</f>
        <v>2</v>
      </c>
    </row>
    <row r="43" spans="1:27" x14ac:dyDescent="0.15">
      <c r="A43" s="4">
        <v>42513</v>
      </c>
      <c r="B43" s="3" t="s">
        <v>6</v>
      </c>
      <c r="C43" s="5">
        <f t="shared" si="2"/>
        <v>14.9</v>
      </c>
      <c r="D43" s="5">
        <f t="shared" si="3"/>
        <v>15.6</v>
      </c>
      <c r="E43" s="5">
        <f t="shared" si="4"/>
        <v>16</v>
      </c>
      <c r="F43" s="5">
        <f t="shared" si="9"/>
        <v>15.5</v>
      </c>
      <c r="G43" s="5">
        <f t="shared" si="5"/>
        <v>17.3</v>
      </c>
      <c r="H43" s="5">
        <f t="shared" si="6"/>
        <v>13.1</v>
      </c>
      <c r="I43" s="5">
        <f t="shared" si="7"/>
        <v>22.4</v>
      </c>
      <c r="J43" s="5">
        <f t="shared" si="8"/>
        <v>12.2</v>
      </c>
      <c r="L43" s="2">
        <f t="shared" si="10"/>
        <v>15.500000000000007</v>
      </c>
      <c r="M43">
        <v>3</v>
      </c>
      <c r="N43" s="13">
        <f t="shared" ref="N43:N55" si="13">N42+O$38</f>
        <v>9.5500000000000007</v>
      </c>
      <c r="O43" s="13">
        <f t="shared" si="11"/>
        <v>10.55</v>
      </c>
      <c r="P43" s="14">
        <f t="shared" si="12"/>
        <v>10.050000000000001</v>
      </c>
      <c r="Q43">
        <f>COUNTIFS($C$33:$J$57,"&gt;9.55",$C$33:$J$57, "&lt;10.55")</f>
        <v>0</v>
      </c>
      <c r="W43">
        <f>COUNTIFS($C$33:$F$57,"&gt;9.55",$C$33:$F$57, "&lt;10.55")</f>
        <v>0</v>
      </c>
      <c r="X43">
        <f>COUNTIFS($G$33:$J$57,"&gt;9.55",$G$33:$J$57, "&lt;10.55")</f>
        <v>0</v>
      </c>
    </row>
    <row r="44" spans="1:27" x14ac:dyDescent="0.15">
      <c r="A44" s="4">
        <v>42514</v>
      </c>
      <c r="B44" s="3" t="s">
        <v>7</v>
      </c>
      <c r="C44" s="5">
        <f t="shared" si="2"/>
        <v>17.2</v>
      </c>
      <c r="D44" s="5">
        <f t="shared" si="3"/>
        <v>16.2</v>
      </c>
      <c r="E44" s="5">
        <f t="shared" si="4"/>
        <v>15</v>
      </c>
      <c r="F44" s="5">
        <f t="shared" si="9"/>
        <v>16.600000000000001</v>
      </c>
      <c r="G44" s="5">
        <f t="shared" si="5"/>
        <v>13.4</v>
      </c>
      <c r="H44" s="5">
        <f t="shared" si="6"/>
        <v>14</v>
      </c>
      <c r="I44" s="5">
        <f t="shared" si="7"/>
        <v>18</v>
      </c>
      <c r="J44" s="5">
        <f t="shared" si="8"/>
        <v>18</v>
      </c>
      <c r="L44" s="2">
        <f t="shared" si="10"/>
        <v>15.300000000000008</v>
      </c>
      <c r="M44">
        <v>4</v>
      </c>
      <c r="N44" s="13">
        <f t="shared" si="13"/>
        <v>10.55</v>
      </c>
      <c r="O44" s="13">
        <f t="shared" si="11"/>
        <v>11.55</v>
      </c>
      <c r="P44" s="14">
        <f t="shared" si="12"/>
        <v>11.05</v>
      </c>
      <c r="Q44">
        <f>COUNTIFS($C$33:$J$57,"&gt;10.55",$C$33:$J$57, "&lt;11.55")</f>
        <v>2</v>
      </c>
      <c r="S44">
        <f>COUNTIF(C33:J57,"&lt;11.05")</f>
        <v>5</v>
      </c>
      <c r="T44">
        <f>S44/200</f>
        <v>2.5000000000000001E-2</v>
      </c>
      <c r="V44">
        <f>COUNTIF(C33:F57,"&lt;11.05")</f>
        <v>0</v>
      </c>
      <c r="W44">
        <f>COUNTIFS($C$33:$F$57,"&gt;10.55",$C$33:$F$57, "&lt;11.55")</f>
        <v>0</v>
      </c>
      <c r="X44">
        <f>COUNTIFS($G$33:$J$57,"&gt;10.55",$G$33:$J$57, "&lt;11.55")</f>
        <v>2</v>
      </c>
      <c r="Y44">
        <f>COUNTIF(G33:J57,"&lt;11.05")</f>
        <v>5</v>
      </c>
      <c r="Z44">
        <f>Y44/100</f>
        <v>0.05</v>
      </c>
    </row>
    <row r="45" spans="1:27" x14ac:dyDescent="0.15">
      <c r="A45" s="4">
        <v>42515</v>
      </c>
      <c r="B45" s="3" t="s">
        <v>8</v>
      </c>
      <c r="C45" s="5">
        <f t="shared" si="2"/>
        <v>14.6</v>
      </c>
      <c r="D45" s="5">
        <f t="shared" si="3"/>
        <v>16.399999999999999</v>
      </c>
      <c r="E45" s="5">
        <f t="shared" si="4"/>
        <v>15.8</v>
      </c>
      <c r="F45" s="5">
        <f t="shared" si="9"/>
        <v>16.2</v>
      </c>
      <c r="G45" s="5">
        <f t="shared" si="5"/>
        <v>16.3</v>
      </c>
      <c r="H45" s="5">
        <f t="shared" si="6"/>
        <v>14.9</v>
      </c>
      <c r="I45" s="5">
        <f t="shared" si="7"/>
        <v>17.7</v>
      </c>
      <c r="J45" s="5">
        <f t="shared" si="8"/>
        <v>14</v>
      </c>
      <c r="L45" s="2">
        <f t="shared" si="10"/>
        <v>15.100000000000009</v>
      </c>
      <c r="M45">
        <v>5</v>
      </c>
      <c r="N45" s="13">
        <f t="shared" si="13"/>
        <v>11.55</v>
      </c>
      <c r="O45" s="13">
        <f t="shared" si="11"/>
        <v>12.55</v>
      </c>
      <c r="P45" s="14">
        <f t="shared" si="12"/>
        <v>12.05</v>
      </c>
      <c r="Q45">
        <f>COUNTIFS($C$33:$J$57,"&gt;11.55",$C$33:$J$57, "&lt;12.55")</f>
        <v>14</v>
      </c>
      <c r="W45">
        <f>COUNTIFS($C$33:$F$57,"&gt;11.55",$C$33:$F$57, "&lt;12.55")</f>
        <v>7</v>
      </c>
      <c r="X45">
        <f>COUNTIFS($G$33:$J$57,"&gt;11.55",$G$33:$J$57, "&lt;12.55")</f>
        <v>7</v>
      </c>
    </row>
    <row r="46" spans="1:27" x14ac:dyDescent="0.15">
      <c r="A46" s="4">
        <v>42516</v>
      </c>
      <c r="B46" s="3" t="s">
        <v>9</v>
      </c>
      <c r="C46" s="5">
        <f t="shared" si="2"/>
        <v>15.9</v>
      </c>
      <c r="D46" s="5">
        <f t="shared" si="3"/>
        <v>13.9</v>
      </c>
      <c r="E46" s="5">
        <f t="shared" si="4"/>
        <v>15.6</v>
      </c>
      <c r="F46" s="5">
        <f t="shared" si="9"/>
        <v>14.9</v>
      </c>
      <c r="G46" s="5">
        <f t="shared" si="5"/>
        <v>19.5</v>
      </c>
      <c r="H46" s="5">
        <f t="shared" si="6"/>
        <v>13.4</v>
      </c>
      <c r="I46" s="5">
        <f t="shared" si="7"/>
        <v>17</v>
      </c>
      <c r="J46" s="5">
        <f t="shared" si="8"/>
        <v>11.6</v>
      </c>
      <c r="L46" s="2">
        <f t="shared" si="10"/>
        <v>14.900000000000009</v>
      </c>
      <c r="M46">
        <v>6</v>
      </c>
      <c r="N46" s="13">
        <f t="shared" si="13"/>
        <v>12.55</v>
      </c>
      <c r="O46" s="13">
        <f t="shared" si="11"/>
        <v>13.55</v>
      </c>
      <c r="P46" s="14">
        <f t="shared" si="12"/>
        <v>13.05</v>
      </c>
      <c r="Q46">
        <f>COUNTIFS($C$33:$J$57,"&gt;12.55",$C$33:$J$57, "&lt;13.55")</f>
        <v>23</v>
      </c>
      <c r="W46">
        <f>COUNTIFS($C$33:$F$57,"&gt;12.55",$C$33:$F$57, "&lt;13.55")</f>
        <v>6</v>
      </c>
      <c r="X46">
        <f>COUNTIFS($G$33:$J$57,"&gt;12.55",$G$33:$J$57, "&lt;13.55")</f>
        <v>17</v>
      </c>
    </row>
    <row r="47" spans="1:27" x14ac:dyDescent="0.15">
      <c r="A47" s="4">
        <v>42517</v>
      </c>
      <c r="B47" s="3" t="s">
        <v>10</v>
      </c>
      <c r="C47" s="5">
        <f t="shared" si="2"/>
        <v>14.2</v>
      </c>
      <c r="D47" s="5">
        <f t="shared" si="3"/>
        <v>16</v>
      </c>
      <c r="E47" s="5">
        <f t="shared" si="4"/>
        <v>15.4</v>
      </c>
      <c r="F47" s="5">
        <f t="shared" si="9"/>
        <v>14.3</v>
      </c>
      <c r="G47" s="5">
        <f t="shared" si="5"/>
        <v>15.1</v>
      </c>
      <c r="H47" s="5">
        <f t="shared" si="6"/>
        <v>20.9</v>
      </c>
      <c r="I47" s="5">
        <f t="shared" si="7"/>
        <v>19.8</v>
      </c>
      <c r="J47" s="5">
        <f t="shared" si="8"/>
        <v>12.5</v>
      </c>
      <c r="L47" s="2">
        <f t="shared" si="10"/>
        <v>14.70000000000001</v>
      </c>
      <c r="M47">
        <v>7</v>
      </c>
      <c r="N47" s="13">
        <f t="shared" si="13"/>
        <v>13.55</v>
      </c>
      <c r="O47" s="13">
        <f t="shared" si="11"/>
        <v>14.55</v>
      </c>
      <c r="P47" s="14">
        <f t="shared" si="12"/>
        <v>14.05</v>
      </c>
      <c r="Q47">
        <f>COUNTIFS($C$33:$J$57,"&gt;13.55",$C$33:$J$57, "&lt;14.55")</f>
        <v>32</v>
      </c>
      <c r="W47">
        <f>COUNTIFS($C$33:$F$57,"&gt;13.55",$C$33:$F$57, "&lt;14.55")</f>
        <v>22</v>
      </c>
      <c r="X47">
        <f>COUNTIFS($G$33:$J$57,"&gt;13.55",$G$33:$J$57, "&lt;14.55")</f>
        <v>10</v>
      </c>
    </row>
    <row r="48" spans="1:27" x14ac:dyDescent="0.15">
      <c r="A48" s="4">
        <v>42520</v>
      </c>
      <c r="B48" s="3" t="s">
        <v>6</v>
      </c>
      <c r="C48" s="5">
        <f t="shared" si="2"/>
        <v>13.6</v>
      </c>
      <c r="D48" s="5">
        <f t="shared" si="3"/>
        <v>15.6</v>
      </c>
      <c r="E48" s="5">
        <f t="shared" si="4"/>
        <v>15.6</v>
      </c>
      <c r="F48" s="5">
        <f t="shared" si="9"/>
        <v>15.5</v>
      </c>
      <c r="G48" s="5">
        <f t="shared" si="5"/>
        <v>16.100000000000001</v>
      </c>
      <c r="H48" s="5">
        <f t="shared" si="6"/>
        <v>13.5</v>
      </c>
      <c r="I48" s="5">
        <f t="shared" si="7"/>
        <v>7.8</v>
      </c>
      <c r="J48" s="5">
        <f t="shared" si="8"/>
        <v>14.1</v>
      </c>
      <c r="L48" s="2">
        <f t="shared" si="10"/>
        <v>14.500000000000011</v>
      </c>
      <c r="M48">
        <v>8</v>
      </c>
      <c r="N48" s="13">
        <f t="shared" si="13"/>
        <v>14.55</v>
      </c>
      <c r="O48" s="13">
        <f t="shared" si="11"/>
        <v>15.55</v>
      </c>
      <c r="P48" s="14">
        <f t="shared" si="12"/>
        <v>15.05</v>
      </c>
      <c r="Q48">
        <f>COUNTIFS($C$33:$J$57,"&gt;14.55",$C$33:$J$57, "&lt;15.55")</f>
        <v>37</v>
      </c>
      <c r="W48">
        <f>COUNTIFS($C$33:$F$57,"&gt;14.55",$C$33:$F$57, "&lt;15.55")</f>
        <v>23</v>
      </c>
      <c r="X48">
        <f>COUNTIFS($G$33:$J$57,"&gt;14.55",$G$33:$J$57, "&lt;15.55")</f>
        <v>14</v>
      </c>
    </row>
    <row r="49" spans="1:26" x14ac:dyDescent="0.15">
      <c r="A49" s="4">
        <v>42521</v>
      </c>
      <c r="B49" s="3" t="s">
        <v>7</v>
      </c>
      <c r="C49" s="5">
        <f t="shared" si="2"/>
        <v>14.4</v>
      </c>
      <c r="D49" s="5">
        <f t="shared" si="3"/>
        <v>15.1</v>
      </c>
      <c r="E49" s="5">
        <f t="shared" si="4"/>
        <v>13.7</v>
      </c>
      <c r="F49" s="5">
        <f t="shared" si="9"/>
        <v>14.2</v>
      </c>
      <c r="G49" s="5">
        <f t="shared" si="5"/>
        <v>18</v>
      </c>
      <c r="H49" s="5">
        <f t="shared" si="6"/>
        <v>12.4</v>
      </c>
      <c r="I49" s="5">
        <f t="shared" si="7"/>
        <v>20.100000000000001</v>
      </c>
      <c r="J49" s="5">
        <f t="shared" si="8"/>
        <v>16.3</v>
      </c>
      <c r="L49" s="2">
        <f t="shared" si="10"/>
        <v>14.300000000000011</v>
      </c>
      <c r="M49">
        <v>9</v>
      </c>
      <c r="N49" s="13">
        <f t="shared" si="13"/>
        <v>15.55</v>
      </c>
      <c r="O49" s="13">
        <f t="shared" si="11"/>
        <v>16.55</v>
      </c>
      <c r="P49" s="14">
        <f t="shared" si="12"/>
        <v>16.05</v>
      </c>
      <c r="Q49">
        <f>COUNTIFS($C$33:$J$57,"&gt;15.55",$C$33:$J$57, "&lt;16.55")</f>
        <v>29</v>
      </c>
      <c r="W49">
        <f>COUNTIFS($C$33:$F$57,"&gt;15.55",$C$33:$F$57, "&lt;16.55")</f>
        <v>21</v>
      </c>
      <c r="X49">
        <f>COUNTIFS($G$33:$J$57,"&gt;15.55",$G$33:$J$57, "&lt;16.55")</f>
        <v>8</v>
      </c>
    </row>
    <row r="50" spans="1:26" x14ac:dyDescent="0.15">
      <c r="A50" s="4">
        <v>42522</v>
      </c>
      <c r="B50" s="3" t="s">
        <v>8</v>
      </c>
      <c r="C50" s="5">
        <f t="shared" si="2"/>
        <v>14.6</v>
      </c>
      <c r="D50" s="5">
        <f t="shared" si="3"/>
        <v>13.9</v>
      </c>
      <c r="E50" s="5">
        <f t="shared" si="4"/>
        <v>12.4</v>
      </c>
      <c r="F50" s="5">
        <f t="shared" si="9"/>
        <v>15.1</v>
      </c>
      <c r="G50" s="5">
        <f t="shared" si="5"/>
        <v>19</v>
      </c>
      <c r="H50" s="5">
        <f t="shared" si="6"/>
        <v>13.9</v>
      </c>
      <c r="I50" s="5">
        <f t="shared" si="7"/>
        <v>15.3</v>
      </c>
      <c r="J50" s="5">
        <f t="shared" si="8"/>
        <v>17.899999999999999</v>
      </c>
      <c r="L50" s="2">
        <f t="shared" si="10"/>
        <v>14.100000000000012</v>
      </c>
      <c r="M50">
        <v>10</v>
      </c>
      <c r="N50" s="13">
        <f t="shared" si="13"/>
        <v>16.55</v>
      </c>
      <c r="O50" s="13">
        <f t="shared" si="11"/>
        <v>17.55</v>
      </c>
      <c r="P50" s="14">
        <f t="shared" si="12"/>
        <v>17.05</v>
      </c>
      <c r="Q50">
        <f>COUNTIFS($C$33:$J$57,"&gt;16.55",$C$33:$J$57, "&lt;17.55")</f>
        <v>27</v>
      </c>
      <c r="W50">
        <f>COUNTIFS($C$33:$F$57,"&gt;16.55",$C$33:$F$57, "&lt;17.55")</f>
        <v>17</v>
      </c>
      <c r="X50">
        <f>COUNTIFS($G$33:$J$57,"&gt;16.55",$G$33:$J$57, "&lt;17.55")</f>
        <v>10</v>
      </c>
    </row>
    <row r="51" spans="1:26" x14ac:dyDescent="0.15">
      <c r="A51" s="4">
        <v>42523</v>
      </c>
      <c r="B51" s="3" t="s">
        <v>9</v>
      </c>
      <c r="C51" s="5">
        <f t="shared" si="2"/>
        <v>14.5</v>
      </c>
      <c r="D51" s="5">
        <f t="shared" si="3"/>
        <v>14.3</v>
      </c>
      <c r="E51" s="5">
        <f t="shared" si="4"/>
        <v>14.8</v>
      </c>
      <c r="F51" s="5">
        <f t="shared" si="9"/>
        <v>13.5</v>
      </c>
      <c r="G51" s="5">
        <f t="shared" si="5"/>
        <v>15.9</v>
      </c>
      <c r="H51" s="5">
        <f t="shared" si="6"/>
        <v>16.600000000000001</v>
      </c>
      <c r="I51" s="5">
        <f t="shared" si="7"/>
        <v>12.6</v>
      </c>
      <c r="J51" s="5">
        <f t="shared" si="8"/>
        <v>13.2</v>
      </c>
      <c r="L51" s="2">
        <f t="shared" si="10"/>
        <v>13.900000000000013</v>
      </c>
      <c r="M51">
        <v>11</v>
      </c>
      <c r="N51" s="13">
        <f t="shared" si="13"/>
        <v>17.55</v>
      </c>
      <c r="O51" s="13">
        <f t="shared" si="11"/>
        <v>18.55</v>
      </c>
      <c r="P51" s="14">
        <f t="shared" si="12"/>
        <v>18.05</v>
      </c>
      <c r="Q51">
        <f>COUNTIFS($C$33:$J$57,"&gt;17.55",$C$33:$J$57, "&lt;18.55")</f>
        <v>15</v>
      </c>
      <c r="W51">
        <f>COUNTIFS($C$33:$F$57,"&gt;17.55",$C$33:$F$57, "&lt;18.55")</f>
        <v>3</v>
      </c>
      <c r="X51">
        <f>COUNTIFS($G$33:$J$57,"&gt;17.55",$G$33:$J$57, "&lt;18.55")</f>
        <v>12</v>
      </c>
    </row>
    <row r="52" spans="1:26" x14ac:dyDescent="0.15">
      <c r="A52" s="4">
        <v>42524</v>
      </c>
      <c r="B52" s="3" t="s">
        <v>10</v>
      </c>
      <c r="C52" s="5">
        <f t="shared" si="2"/>
        <v>13.7</v>
      </c>
      <c r="D52" s="5">
        <f t="shared" si="3"/>
        <v>13.8</v>
      </c>
      <c r="E52" s="5">
        <f t="shared" si="4"/>
        <v>14.4</v>
      </c>
      <c r="F52" s="5">
        <f t="shared" si="9"/>
        <v>13.5</v>
      </c>
      <c r="G52" s="5">
        <f t="shared" si="5"/>
        <v>14.8</v>
      </c>
      <c r="H52" s="5">
        <f t="shared" si="6"/>
        <v>19.2</v>
      </c>
      <c r="I52" s="5">
        <f t="shared" si="7"/>
        <v>16.600000000000001</v>
      </c>
      <c r="J52" s="5">
        <f t="shared" si="8"/>
        <v>20.7</v>
      </c>
      <c r="L52" s="2">
        <f t="shared" si="10"/>
        <v>13.700000000000014</v>
      </c>
      <c r="M52">
        <v>12</v>
      </c>
      <c r="N52" s="13">
        <f t="shared" si="13"/>
        <v>18.55</v>
      </c>
      <c r="O52" s="13">
        <f t="shared" si="11"/>
        <v>19.55</v>
      </c>
      <c r="P52" s="14">
        <f t="shared" si="12"/>
        <v>19.05</v>
      </c>
      <c r="Q52">
        <f>COUNTIFS($C$33:$J$57,"&gt;18.55",$C$33:$J$57, "&lt;19.55")</f>
        <v>10</v>
      </c>
      <c r="S52">
        <f>COUNTIF(C33:J57,"&gt;18.95")</f>
        <v>15</v>
      </c>
      <c r="T52">
        <f>S52/200</f>
        <v>7.4999999999999997E-2</v>
      </c>
      <c r="V52">
        <f>COUNTIF(C33:F57,"&gt;18.95")</f>
        <v>0</v>
      </c>
      <c r="W52">
        <f>COUNTIFS($C$33:$F$57,"&gt;18.55",$C$33:$F$57, "&lt;19.55")</f>
        <v>1</v>
      </c>
      <c r="X52">
        <f>COUNTIFS($G$33:$J$57,"&gt;18.55",$G$33:$J$57, "&lt;19.55")</f>
        <v>9</v>
      </c>
      <c r="Y52">
        <f>COUNTIF(G33:J57,"&gt;18.95")</f>
        <v>15</v>
      </c>
      <c r="Z52">
        <f>Y52/100</f>
        <v>0.15</v>
      </c>
    </row>
    <row r="53" spans="1:26" x14ac:dyDescent="0.15">
      <c r="A53" s="4">
        <v>42527</v>
      </c>
      <c r="B53" s="3" t="s">
        <v>6</v>
      </c>
      <c r="C53" s="5">
        <f t="shared" si="2"/>
        <v>12.4</v>
      </c>
      <c r="D53" s="5">
        <f t="shared" si="3"/>
        <v>13.6</v>
      </c>
      <c r="E53" s="5">
        <f t="shared" si="4"/>
        <v>14.3</v>
      </c>
      <c r="F53" s="5">
        <f t="shared" si="9"/>
        <v>14.2</v>
      </c>
      <c r="G53" s="5">
        <f t="shared" si="5"/>
        <v>14.9</v>
      </c>
      <c r="H53" s="5">
        <f t="shared" si="6"/>
        <v>19</v>
      </c>
      <c r="I53" s="5">
        <f t="shared" si="7"/>
        <v>15</v>
      </c>
      <c r="J53" s="5">
        <f t="shared" si="8"/>
        <v>12</v>
      </c>
      <c r="L53" s="2">
        <f t="shared" si="10"/>
        <v>13.500000000000014</v>
      </c>
      <c r="M53">
        <v>13</v>
      </c>
      <c r="N53" s="13">
        <f t="shared" si="13"/>
        <v>19.55</v>
      </c>
      <c r="O53" s="13">
        <f t="shared" si="11"/>
        <v>20.55</v>
      </c>
      <c r="P53" s="14">
        <f t="shared" si="12"/>
        <v>20.05</v>
      </c>
      <c r="Q53">
        <f>COUNTIFS($C$33:$J$57,"&gt;19.55",$C$33:$J$57, "&lt;20.55")</f>
        <v>4</v>
      </c>
      <c r="W53">
        <f>COUNTIFS($C$33:$F$57,"&gt;19.55",$C$33:$F$57, "&lt;20.55")</f>
        <v>0</v>
      </c>
      <c r="X53">
        <f>COUNTIFS($G$33:$J$57,"&gt;19.55",$G$33:$J$57, "&lt;20.55")</f>
        <v>4</v>
      </c>
    </row>
    <row r="54" spans="1:26" x14ac:dyDescent="0.15">
      <c r="A54" s="4">
        <v>42528</v>
      </c>
      <c r="B54" s="3" t="s">
        <v>7</v>
      </c>
      <c r="C54" s="5">
        <f t="shared" si="2"/>
        <v>12.4</v>
      </c>
      <c r="D54" s="5">
        <f t="shared" si="3"/>
        <v>13.7</v>
      </c>
      <c r="E54" s="5">
        <f t="shared" si="4"/>
        <v>13</v>
      </c>
      <c r="F54" s="5">
        <f t="shared" si="9"/>
        <v>13.9</v>
      </c>
      <c r="G54" s="5">
        <f t="shared" si="5"/>
        <v>17.899999999999999</v>
      </c>
      <c r="H54" s="5">
        <f t="shared" si="6"/>
        <v>19.8</v>
      </c>
      <c r="I54" s="5">
        <f t="shared" si="7"/>
        <v>18.100000000000001</v>
      </c>
      <c r="J54" s="5">
        <f t="shared" si="8"/>
        <v>7.6</v>
      </c>
      <c r="L54" s="2">
        <f t="shared" si="10"/>
        <v>13.300000000000015</v>
      </c>
      <c r="M54">
        <v>14</v>
      </c>
      <c r="N54" s="13">
        <f t="shared" si="13"/>
        <v>20.55</v>
      </c>
      <c r="O54" s="13">
        <f t="shared" si="11"/>
        <v>21.55</v>
      </c>
      <c r="P54" s="14">
        <f t="shared" si="12"/>
        <v>21.05</v>
      </c>
      <c r="Q54">
        <f>COUNTIFS($C$33:$J$57,"&gt;20.55",$C$33:$J$57, "&lt;21.55")</f>
        <v>2</v>
      </c>
      <c r="W54">
        <f>COUNTIFS($C$33:$F$57,"&gt;20.55",$C$33:$F$57, "&lt;21.55")</f>
        <v>0</v>
      </c>
      <c r="X54">
        <f>COUNTIFS($G$33:$J$57,"&gt;20.55",$G$33:$J$57, "&lt;21.55")</f>
        <v>2</v>
      </c>
    </row>
    <row r="55" spans="1:26" x14ac:dyDescent="0.15">
      <c r="A55" s="4">
        <v>42529</v>
      </c>
      <c r="B55" s="3" t="s">
        <v>8</v>
      </c>
      <c r="C55" s="5">
        <f t="shared" si="2"/>
        <v>13.5</v>
      </c>
      <c r="D55" s="5">
        <f>ROUND($L55+$C$28*B23,1)</f>
        <v>13.8</v>
      </c>
      <c r="E55" s="5">
        <f t="shared" si="4"/>
        <v>15.1</v>
      </c>
      <c r="F55" s="5">
        <f t="shared" si="9"/>
        <v>12</v>
      </c>
      <c r="G55" s="5">
        <f t="shared" si="5"/>
        <v>12.6</v>
      </c>
      <c r="H55" s="5">
        <f t="shared" si="6"/>
        <v>14.7</v>
      </c>
      <c r="I55" s="5">
        <f t="shared" si="7"/>
        <v>12.5</v>
      </c>
      <c r="J55" s="5">
        <f t="shared" si="8"/>
        <v>9.1999999999999993</v>
      </c>
      <c r="L55" s="2">
        <f t="shared" si="10"/>
        <v>13.100000000000016</v>
      </c>
      <c r="M55">
        <v>15</v>
      </c>
      <c r="N55" s="13">
        <f t="shared" si="13"/>
        <v>21.55</v>
      </c>
      <c r="O55" s="13">
        <f t="shared" si="11"/>
        <v>22.55</v>
      </c>
      <c r="P55" s="14">
        <f t="shared" si="12"/>
        <v>22.05</v>
      </c>
      <c r="Q55">
        <f>COUNTIFS($C$33:$J$57,"&gt;21.55",$C$33:$J$57, "&lt;22.55")</f>
        <v>1</v>
      </c>
      <c r="W55">
        <f>COUNTIFS($C$33:$F$57,"&gt;21.55",$C$33:$F$57, "&lt;22.55")</f>
        <v>0</v>
      </c>
      <c r="X55">
        <f>COUNTIFS($G$33:$J$57,"&gt;21.55",$G$33:$J$57, "&lt;22.55")</f>
        <v>1</v>
      </c>
    </row>
    <row r="56" spans="1:26" x14ac:dyDescent="0.15">
      <c r="A56" s="4">
        <v>42530</v>
      </c>
      <c r="B56" s="3" t="s">
        <v>9</v>
      </c>
      <c r="C56" s="5">
        <f t="shared" si="2"/>
        <v>14.8</v>
      </c>
      <c r="D56" s="5">
        <f t="shared" si="3"/>
        <v>11.8</v>
      </c>
      <c r="E56" s="5">
        <f t="shared" si="4"/>
        <v>11.7</v>
      </c>
      <c r="F56" s="5">
        <f>ROUND($L56+$C$28*D24,1)</f>
        <v>14</v>
      </c>
      <c r="G56" s="5">
        <f t="shared" si="5"/>
        <v>15.6</v>
      </c>
      <c r="H56" s="5">
        <f t="shared" si="6"/>
        <v>9.1</v>
      </c>
      <c r="I56" s="5">
        <f t="shared" si="7"/>
        <v>19.399999999999999</v>
      </c>
      <c r="J56" s="5">
        <f t="shared" si="8"/>
        <v>13.2</v>
      </c>
      <c r="L56" s="2">
        <f t="shared" si="10"/>
        <v>12.900000000000016</v>
      </c>
      <c r="N56" s="13"/>
      <c r="Q56">
        <f>SUM(Q41:Q55)</f>
        <v>200</v>
      </c>
      <c r="S56">
        <v>20</v>
      </c>
      <c r="T56">
        <f>20/200</f>
        <v>0.1</v>
      </c>
      <c r="W56">
        <f>SUM(W41:W55)</f>
        <v>100</v>
      </c>
      <c r="X56">
        <f>SUM(X41:X55)</f>
        <v>100</v>
      </c>
    </row>
    <row r="57" spans="1:26" x14ac:dyDescent="0.15">
      <c r="A57" s="4">
        <v>42531</v>
      </c>
      <c r="B57" s="3" t="s">
        <v>10</v>
      </c>
      <c r="C57" s="5">
        <f t="shared" si="2"/>
        <v>12.6</v>
      </c>
      <c r="D57" s="5">
        <f t="shared" si="3"/>
        <v>12.2</v>
      </c>
      <c r="E57" s="5">
        <f t="shared" si="4"/>
        <v>12.8</v>
      </c>
      <c r="F57" s="5">
        <f t="shared" si="9"/>
        <v>14.2</v>
      </c>
      <c r="G57" s="5">
        <f t="shared" si="5"/>
        <v>14.9</v>
      </c>
      <c r="H57" s="5">
        <f t="shared" si="6"/>
        <v>15.4</v>
      </c>
      <c r="I57" s="5">
        <f t="shared" si="7"/>
        <v>15.7</v>
      </c>
      <c r="J57" s="5">
        <f t="shared" si="8"/>
        <v>16.899999999999999</v>
      </c>
      <c r="L57" s="2">
        <f t="shared" si="10"/>
        <v>12.700000000000017</v>
      </c>
      <c r="M57">
        <v>17</v>
      </c>
    </row>
    <row r="59" spans="1:26" x14ac:dyDescent="0.15">
      <c r="G59" s="12" t="s">
        <v>35</v>
      </c>
      <c r="H59" s="12" t="s">
        <v>15</v>
      </c>
      <c r="I59" s="12" t="s">
        <v>20</v>
      </c>
      <c r="J59" s="12" t="s">
        <v>21</v>
      </c>
      <c r="K59" s="12"/>
      <c r="M59" s="11" t="s">
        <v>34</v>
      </c>
      <c r="N59" s="11"/>
      <c r="O59" s="11"/>
      <c r="P59" s="11"/>
    </row>
    <row r="60" spans="1:26" x14ac:dyDescent="0.15">
      <c r="A60" s="6"/>
      <c r="B60" s="6"/>
      <c r="C60" s="6"/>
      <c r="D60" s="32" t="s">
        <v>19</v>
      </c>
      <c r="E60" s="32"/>
      <c r="G60" s="12" t="s">
        <v>22</v>
      </c>
      <c r="H60" s="12">
        <v>2</v>
      </c>
      <c r="I60" s="12">
        <v>2</v>
      </c>
      <c r="J60" s="12">
        <v>1</v>
      </c>
      <c r="K60" s="12">
        <f>K61^0.5</f>
        <v>3</v>
      </c>
      <c r="M60" t="s">
        <v>24</v>
      </c>
    </row>
    <row r="61" spans="1:26" x14ac:dyDescent="0.15">
      <c r="A61" s="3" t="s">
        <v>14</v>
      </c>
      <c r="B61" s="3" t="s">
        <v>15</v>
      </c>
      <c r="C61" s="3" t="s">
        <v>18</v>
      </c>
      <c r="D61" s="3">
        <v>1</v>
      </c>
      <c r="E61" s="3">
        <v>2</v>
      </c>
      <c r="G61" s="12" t="s">
        <v>23</v>
      </c>
      <c r="H61" s="12">
        <f>H60^2</f>
        <v>4</v>
      </c>
      <c r="I61" s="12">
        <f t="shared" ref="I61:J61" si="14">I60^2</f>
        <v>4</v>
      </c>
      <c r="J61" s="12">
        <f t="shared" si="14"/>
        <v>1</v>
      </c>
      <c r="K61" s="12">
        <f>SUM(H61:J61)</f>
        <v>9</v>
      </c>
      <c r="M61" t="s">
        <v>25</v>
      </c>
      <c r="N61" t="s">
        <v>26</v>
      </c>
      <c r="P61" t="s">
        <v>15</v>
      </c>
      <c r="R61" t="s">
        <v>20</v>
      </c>
      <c r="T61" t="s">
        <v>15</v>
      </c>
    </row>
    <row r="62" spans="1:26" x14ac:dyDescent="0.15">
      <c r="A62" s="31">
        <v>1</v>
      </c>
      <c r="B62" s="31" t="s">
        <v>16</v>
      </c>
      <c r="C62" s="7">
        <v>1</v>
      </c>
      <c r="D62" s="5">
        <f>ROUND(15+$J62*$H$60+$K62*$I$60+G62*$J$60,1)</f>
        <v>19.7</v>
      </c>
      <c r="E62" s="5">
        <f>ROUND(15+$J62*$H$60+$K62*$I$60+H62*$J$60,1)</f>
        <v>20.3</v>
      </c>
      <c r="G62">
        <v>-0.80497894199999998</v>
      </c>
      <c r="H62">
        <v>-0.20469152500000001</v>
      </c>
      <c r="J62">
        <v>1.0442133386000001</v>
      </c>
      <c r="K62">
        <v>1.6888439624</v>
      </c>
      <c r="M62">
        <f>DEVSQ(D62:E62)</f>
        <v>0.18000000000000085</v>
      </c>
      <c r="N62" s="22">
        <f>AVERAGE(D62:E62)</f>
        <v>20</v>
      </c>
      <c r="O62">
        <f>DEVSQ(N62:N63)*2</f>
        <v>2.2499999999999572E-2</v>
      </c>
      <c r="P62" s="22">
        <f>AVERAGE(D62:E63)</f>
        <v>20.075000000000003</v>
      </c>
      <c r="Q62">
        <v>1</v>
      </c>
      <c r="R62" s="14">
        <v>20</v>
      </c>
      <c r="S62" s="14">
        <v>20.149999999999999</v>
      </c>
      <c r="T62" s="22">
        <v>20.075000000000003</v>
      </c>
    </row>
    <row r="63" spans="1:26" x14ac:dyDescent="0.15">
      <c r="A63" s="31"/>
      <c r="B63" s="31"/>
      <c r="C63" s="7">
        <v>2</v>
      </c>
      <c r="D63" s="5">
        <f t="shared" ref="D63:D101" si="15">ROUND(15+$J63*$H$60+$K63*$I$60+G63*$J$60,1)</f>
        <v>19.7</v>
      </c>
      <c r="E63" s="5">
        <f t="shared" ref="E63:E101" si="16">ROUND(15+$J63*$H$60+$K63*$I$60+H63*$J$60,1)</f>
        <v>20.6</v>
      </c>
      <c r="G63">
        <v>0.227160787</v>
      </c>
      <c r="H63">
        <v>1.0965014126999999</v>
      </c>
      <c r="J63">
        <f>J62</f>
        <v>1.0442133386000001</v>
      </c>
      <c r="K63">
        <v>1.2111742145</v>
      </c>
      <c r="M63">
        <f t="shared" ref="M63:M100" si="17">DEVSQ(D63:E63)</f>
        <v>0.40500000000000191</v>
      </c>
      <c r="N63" s="22">
        <f>AVERAGE(D63:E63)</f>
        <v>20.149999999999999</v>
      </c>
      <c r="P63" s="22"/>
      <c r="Q63">
        <v>2</v>
      </c>
      <c r="R63" s="14">
        <v>14.7</v>
      </c>
      <c r="S63" s="14">
        <v>15.1</v>
      </c>
      <c r="T63" s="22">
        <v>14.899999999999999</v>
      </c>
    </row>
    <row r="64" spans="1:26" x14ac:dyDescent="0.15">
      <c r="A64" s="31"/>
      <c r="B64" s="31" t="s">
        <v>17</v>
      </c>
      <c r="C64" s="7">
        <v>1</v>
      </c>
      <c r="D64" s="5">
        <f t="shared" si="15"/>
        <v>14.3</v>
      </c>
      <c r="E64" s="5">
        <f t="shared" si="16"/>
        <v>15.1</v>
      </c>
      <c r="G64">
        <v>-1.1794225869999999</v>
      </c>
      <c r="H64">
        <v>-0.44055088999999997</v>
      </c>
      <c r="J64">
        <v>-0.34637908000000001</v>
      </c>
      <c r="K64">
        <v>0.61098359459999996</v>
      </c>
      <c r="M64">
        <f t="shared" si="17"/>
        <v>0.31999999999999917</v>
      </c>
      <c r="N64" s="2">
        <f t="shared" ref="N64:N101" si="18">AVERAGE(D64:E64)</f>
        <v>14.7</v>
      </c>
      <c r="O64">
        <f>DEVSQ(N64:N65)*2</f>
        <v>0.16000000000000028</v>
      </c>
      <c r="P64" s="22">
        <f>AVERAGE(D64:E65)</f>
        <v>14.899999999999999</v>
      </c>
      <c r="Q64">
        <v>3</v>
      </c>
      <c r="R64" s="14">
        <v>16.950000000000003</v>
      </c>
      <c r="S64" s="14">
        <v>15.4</v>
      </c>
      <c r="T64" s="22">
        <v>16.175000000000001</v>
      </c>
    </row>
    <row r="65" spans="1:20" x14ac:dyDescent="0.15">
      <c r="A65" s="31"/>
      <c r="B65" s="31"/>
      <c r="C65" s="7">
        <v>2</v>
      </c>
      <c r="D65" s="5">
        <f t="shared" si="15"/>
        <v>17.2</v>
      </c>
      <c r="E65" s="5">
        <f t="shared" si="16"/>
        <v>13</v>
      </c>
      <c r="G65">
        <v>2.3669555988000002</v>
      </c>
      <c r="H65">
        <v>-1.873908202</v>
      </c>
      <c r="J65">
        <f>J64</f>
        <v>-0.34637908000000001</v>
      </c>
      <c r="K65">
        <v>0.25874296590000001</v>
      </c>
      <c r="M65">
        <f t="shared" si="17"/>
        <v>8.8199999999999967</v>
      </c>
      <c r="N65" s="2">
        <f t="shared" si="18"/>
        <v>15.1</v>
      </c>
      <c r="P65" s="22"/>
      <c r="Q65">
        <v>4</v>
      </c>
      <c r="R65" s="14">
        <v>11.7</v>
      </c>
      <c r="S65" s="14">
        <v>15.25</v>
      </c>
      <c r="T65" s="22">
        <v>13.474999999999998</v>
      </c>
    </row>
    <row r="66" spans="1:20" x14ac:dyDescent="0.15">
      <c r="A66" s="31">
        <v>2</v>
      </c>
      <c r="B66" s="31" t="s">
        <v>16</v>
      </c>
      <c r="C66" s="7">
        <v>1</v>
      </c>
      <c r="D66" s="5">
        <f t="shared" si="15"/>
        <v>16.600000000000001</v>
      </c>
      <c r="E66" s="5">
        <f t="shared" si="16"/>
        <v>17.3</v>
      </c>
      <c r="G66">
        <v>0.1245301437</v>
      </c>
      <c r="H66">
        <v>0.82102418470000005</v>
      </c>
      <c r="J66">
        <v>0.4635297209</v>
      </c>
      <c r="K66">
        <v>0.27068801679999999</v>
      </c>
      <c r="M66">
        <f t="shared" si="17"/>
        <v>0.2449999999999995</v>
      </c>
      <c r="N66" s="2">
        <f t="shared" si="18"/>
        <v>16.950000000000003</v>
      </c>
      <c r="O66">
        <f>DEVSQ(N66:N67)*2</f>
        <v>2.4025000000000079</v>
      </c>
      <c r="P66" s="22">
        <f>AVERAGE(D66:E67)</f>
        <v>16.175000000000001</v>
      </c>
      <c r="Q66">
        <v>5</v>
      </c>
      <c r="R66" s="14">
        <v>12.15</v>
      </c>
      <c r="S66" s="14">
        <v>9.3000000000000007</v>
      </c>
      <c r="T66" s="22">
        <v>10.725000000000001</v>
      </c>
    </row>
    <row r="67" spans="1:20" x14ac:dyDescent="0.15">
      <c r="A67" s="31"/>
      <c r="B67" s="31"/>
      <c r="C67" s="7">
        <v>2</v>
      </c>
      <c r="D67" s="5">
        <f t="shared" si="15"/>
        <v>16</v>
      </c>
      <c r="E67" s="5">
        <f t="shared" si="16"/>
        <v>14.8</v>
      </c>
      <c r="G67">
        <v>1.3561091891999999</v>
      </c>
      <c r="H67">
        <v>0.1176356268</v>
      </c>
      <c r="J67">
        <f>J66</f>
        <v>0.4635297209</v>
      </c>
      <c r="K67">
        <v>-0.62526272199999999</v>
      </c>
      <c r="M67">
        <f t="shared" si="17"/>
        <v>0.7199999999999992</v>
      </c>
      <c r="N67" s="2">
        <f t="shared" si="18"/>
        <v>15.4</v>
      </c>
      <c r="P67" s="22"/>
      <c r="Q67">
        <v>6</v>
      </c>
      <c r="R67" s="14">
        <v>12.45</v>
      </c>
      <c r="S67" s="14">
        <v>14.8</v>
      </c>
      <c r="T67" s="22">
        <v>13.625</v>
      </c>
    </row>
    <row r="68" spans="1:20" x14ac:dyDescent="0.15">
      <c r="A68" s="31"/>
      <c r="B68" s="31" t="s">
        <v>17</v>
      </c>
      <c r="C68" s="7">
        <v>1</v>
      </c>
      <c r="D68" s="5">
        <f t="shared" si="15"/>
        <v>11.9</v>
      </c>
      <c r="E68" s="5">
        <f t="shared" si="16"/>
        <v>11.5</v>
      </c>
      <c r="G68">
        <v>-1.121055022</v>
      </c>
      <c r="H68">
        <v>-1.493092292</v>
      </c>
      <c r="J68">
        <v>-1.037916893</v>
      </c>
      <c r="K68">
        <v>3.7012554500000003E-2</v>
      </c>
      <c r="M68">
        <f t="shared" si="17"/>
        <v>8.000000000000014E-2</v>
      </c>
      <c r="N68" s="2">
        <f t="shared" si="18"/>
        <v>11.7</v>
      </c>
      <c r="O68">
        <f>DEVSQ(N68:N69)*2</f>
        <v>12.602500000000004</v>
      </c>
      <c r="P68" s="22">
        <f>AVERAGE(D68:E69)</f>
        <v>13.474999999999998</v>
      </c>
      <c r="Q68">
        <v>7</v>
      </c>
      <c r="R68" s="14">
        <v>17.850000000000001</v>
      </c>
      <c r="S68" s="14">
        <v>21.9</v>
      </c>
      <c r="T68" s="22">
        <v>19.875</v>
      </c>
    </row>
    <row r="69" spans="1:20" x14ac:dyDescent="0.15">
      <c r="A69" s="31"/>
      <c r="B69" s="31"/>
      <c r="C69" s="7">
        <v>2</v>
      </c>
      <c r="D69" s="5">
        <f t="shared" si="15"/>
        <v>15.2</v>
      </c>
      <c r="E69" s="5">
        <f t="shared" si="16"/>
        <v>15.3</v>
      </c>
      <c r="G69">
        <v>5.6540107399999998E-2</v>
      </c>
      <c r="H69">
        <v>0.18319723669999999</v>
      </c>
      <c r="J69">
        <f>J68</f>
        <v>-1.037916893</v>
      </c>
      <c r="K69">
        <v>1.0904404901</v>
      </c>
      <c r="M69">
        <f t="shared" si="17"/>
        <v>5.0000000000001424E-3</v>
      </c>
      <c r="N69" s="2">
        <f t="shared" si="18"/>
        <v>15.25</v>
      </c>
      <c r="P69" s="22"/>
      <c r="Q69">
        <v>8</v>
      </c>
      <c r="R69" s="14">
        <v>15.75</v>
      </c>
      <c r="S69" s="14">
        <v>18</v>
      </c>
      <c r="T69" s="22">
        <v>16.875</v>
      </c>
    </row>
    <row r="70" spans="1:20" x14ac:dyDescent="0.15">
      <c r="A70" s="31">
        <v>3</v>
      </c>
      <c r="B70" s="31" t="s">
        <v>16</v>
      </c>
      <c r="C70" s="7">
        <v>1</v>
      </c>
      <c r="D70" s="5">
        <f t="shared" si="15"/>
        <v>11.5</v>
      </c>
      <c r="E70" s="5">
        <f t="shared" si="16"/>
        <v>12.8</v>
      </c>
      <c r="G70">
        <v>-0.62187372900000004</v>
      </c>
      <c r="H70">
        <v>0.68813568979999995</v>
      </c>
      <c r="J70">
        <v>-1.730357106</v>
      </c>
      <c r="K70">
        <v>0.28075468539999998</v>
      </c>
      <c r="M70">
        <f t="shared" si="17"/>
        <v>0.84500000000000097</v>
      </c>
      <c r="N70" s="2">
        <f t="shared" si="18"/>
        <v>12.15</v>
      </c>
      <c r="O70">
        <f>DEVSQ(N70:N71)*2</f>
        <v>8.1224999999999987</v>
      </c>
      <c r="P70" s="22">
        <f>AVERAGE(D70:E71)</f>
        <v>10.725000000000001</v>
      </c>
      <c r="Q70">
        <v>9</v>
      </c>
      <c r="R70" s="14">
        <v>15.3</v>
      </c>
      <c r="S70" s="14">
        <v>16.549999999999997</v>
      </c>
      <c r="T70" s="22">
        <v>15.924999999999999</v>
      </c>
    </row>
    <row r="71" spans="1:20" x14ac:dyDescent="0.15">
      <c r="A71" s="31"/>
      <c r="B71" s="31"/>
      <c r="C71" s="7">
        <v>2</v>
      </c>
      <c r="D71" s="5">
        <f>ROUND(15+$J71*$H$60+$K71*$I$60+G71*$J$60,1)</f>
        <v>9.8000000000000007</v>
      </c>
      <c r="E71" s="5">
        <f t="shared" si="16"/>
        <v>8.8000000000000007</v>
      </c>
      <c r="G71">
        <v>0.29844927850000003</v>
      </c>
      <c r="H71">
        <v>-0.68230285999999996</v>
      </c>
      <c r="J71">
        <f>J70</f>
        <v>-1.730357106</v>
      </c>
      <c r="K71">
        <v>-1.027177561</v>
      </c>
      <c r="M71">
        <f t="shared" si="17"/>
        <v>0.5</v>
      </c>
      <c r="N71" s="2">
        <f t="shared" si="18"/>
        <v>9.3000000000000007</v>
      </c>
      <c r="P71" s="22"/>
      <c r="Q71">
        <v>10</v>
      </c>
      <c r="R71" s="14">
        <v>13.5</v>
      </c>
      <c r="S71" s="14">
        <v>17.200000000000003</v>
      </c>
      <c r="T71" s="22">
        <v>15.35</v>
      </c>
    </row>
    <row r="72" spans="1:20" x14ac:dyDescent="0.15">
      <c r="A72" s="31"/>
      <c r="B72" s="31" t="s">
        <v>17</v>
      </c>
      <c r="C72" s="7">
        <v>1</v>
      </c>
      <c r="D72" s="5">
        <f>ROUND(15+$J72*$H$60+$K72*$I$60+G72*$J$60,1)</f>
        <v>12.9</v>
      </c>
      <c r="E72" s="5">
        <f t="shared" si="16"/>
        <v>12</v>
      </c>
      <c r="G72">
        <v>-0.28339284399999998</v>
      </c>
      <c r="H72">
        <v>-1.1879445630000001</v>
      </c>
      <c r="J72">
        <v>-0.489368146</v>
      </c>
      <c r="K72">
        <v>-0.40262345300000002</v>
      </c>
      <c r="M72">
        <f t="shared" si="17"/>
        <v>0.4050000000000003</v>
      </c>
      <c r="N72" s="2">
        <f t="shared" si="18"/>
        <v>12.45</v>
      </c>
      <c r="O72">
        <f>DEVSQ(N72:N73)*2</f>
        <v>5.5225000000000071</v>
      </c>
      <c r="P72" s="22">
        <f>AVERAGE(D72:E73)</f>
        <v>13.625</v>
      </c>
      <c r="Q72">
        <v>11</v>
      </c>
      <c r="R72" s="14">
        <v>13.3</v>
      </c>
      <c r="S72" s="14">
        <v>15.35</v>
      </c>
      <c r="T72" s="22">
        <v>14.324999999999999</v>
      </c>
    </row>
    <row r="73" spans="1:20" x14ac:dyDescent="0.15">
      <c r="A73" s="31"/>
      <c r="B73" s="31"/>
      <c r="C73" s="7">
        <v>2</v>
      </c>
      <c r="D73" s="5">
        <f t="shared" si="15"/>
        <v>13.9</v>
      </c>
      <c r="E73" s="5">
        <f t="shared" si="16"/>
        <v>15.7</v>
      </c>
      <c r="G73">
        <v>-0.91529680599999996</v>
      </c>
      <c r="H73">
        <v>0.84729525959999996</v>
      </c>
      <c r="J73">
        <f>J72</f>
        <v>-0.489368146</v>
      </c>
      <c r="K73">
        <v>0.41329443760000001</v>
      </c>
      <c r="M73">
        <f t="shared" si="17"/>
        <v>1.6199999999999979</v>
      </c>
      <c r="N73" s="2">
        <f t="shared" si="18"/>
        <v>14.8</v>
      </c>
      <c r="P73" s="22"/>
      <c r="Q73">
        <v>12</v>
      </c>
      <c r="R73" s="14">
        <v>17</v>
      </c>
      <c r="S73" s="14">
        <v>13.35</v>
      </c>
      <c r="T73" s="22">
        <v>15.175000000000001</v>
      </c>
    </row>
    <row r="74" spans="1:20" x14ac:dyDescent="0.15">
      <c r="A74" s="31">
        <v>4</v>
      </c>
      <c r="B74" s="31" t="s">
        <v>16</v>
      </c>
      <c r="C74" s="7">
        <v>1</v>
      </c>
      <c r="D74" s="5">
        <f t="shared" si="15"/>
        <v>17.8</v>
      </c>
      <c r="E74" s="5">
        <f t="shared" si="16"/>
        <v>17.899999999999999</v>
      </c>
      <c r="G74">
        <v>0.76548110759999999</v>
      </c>
      <c r="H74">
        <v>0.88767136609999997</v>
      </c>
      <c r="J74">
        <v>1.1369215488</v>
      </c>
      <c r="K74">
        <v>-0.11470894199999999</v>
      </c>
      <c r="M74">
        <f t="shared" si="17"/>
        <v>4.9999999999997876E-3</v>
      </c>
      <c r="N74" s="2">
        <f t="shared" si="18"/>
        <v>17.850000000000001</v>
      </c>
      <c r="O74">
        <f>DEVSQ(N74:N75)*2</f>
        <v>16.402499999999979</v>
      </c>
      <c r="P74" s="22">
        <f>AVERAGE(D74:E75)</f>
        <v>19.875</v>
      </c>
      <c r="Q74">
        <v>13</v>
      </c>
      <c r="R74" s="14">
        <v>12.35</v>
      </c>
      <c r="S74" s="14">
        <v>14.25</v>
      </c>
      <c r="T74" s="22">
        <v>13.3</v>
      </c>
    </row>
    <row r="75" spans="1:20" x14ac:dyDescent="0.15">
      <c r="A75" s="31"/>
      <c r="B75" s="31"/>
      <c r="C75" s="7">
        <v>2</v>
      </c>
      <c r="D75" s="5">
        <f t="shared" si="15"/>
        <v>23.9</v>
      </c>
      <c r="E75" s="5">
        <f t="shared" si="16"/>
        <v>19.899999999999999</v>
      </c>
      <c r="G75">
        <v>2.7964442922999999</v>
      </c>
      <c r="H75">
        <v>-1.189005715</v>
      </c>
      <c r="J75">
        <f>J74</f>
        <v>1.1369215488</v>
      </c>
      <c r="K75">
        <v>1.9291929713</v>
      </c>
      <c r="M75">
        <f t="shared" si="17"/>
        <v>8</v>
      </c>
      <c r="N75" s="2">
        <f t="shared" si="18"/>
        <v>21.9</v>
      </c>
      <c r="P75" s="22"/>
      <c r="Q75">
        <v>14</v>
      </c>
      <c r="R75" s="14">
        <v>17.600000000000001</v>
      </c>
      <c r="S75" s="14">
        <v>15.65</v>
      </c>
      <c r="T75" s="22">
        <v>16.625</v>
      </c>
    </row>
    <row r="76" spans="1:20" x14ac:dyDescent="0.15">
      <c r="A76" s="31"/>
      <c r="B76" s="31" t="s">
        <v>17</v>
      </c>
      <c r="C76" s="7">
        <v>1</v>
      </c>
      <c r="D76" s="5">
        <f t="shared" si="15"/>
        <v>15.8</v>
      </c>
      <c r="E76" s="5">
        <f t="shared" si="16"/>
        <v>15.7</v>
      </c>
      <c r="G76">
        <v>-0.58463792000000003</v>
      </c>
      <c r="H76">
        <v>-0.70981229300000004</v>
      </c>
      <c r="J76">
        <v>0.35429883010000002</v>
      </c>
      <c r="K76">
        <v>0.35289362699999999</v>
      </c>
      <c r="M76">
        <f t="shared" si="17"/>
        <v>5.0000000000001424E-3</v>
      </c>
      <c r="N76" s="2">
        <f t="shared" si="18"/>
        <v>15.75</v>
      </c>
      <c r="O76">
        <f>DEVSQ(N76:N77)*2</f>
        <v>5.0625</v>
      </c>
      <c r="P76" s="22">
        <f>AVERAGE(D76:E77)</f>
        <v>16.875</v>
      </c>
      <c r="Q76">
        <v>15</v>
      </c>
      <c r="R76" s="14">
        <v>23.25</v>
      </c>
      <c r="S76" s="14">
        <v>14.35</v>
      </c>
      <c r="T76" s="22">
        <v>18.8</v>
      </c>
    </row>
    <row r="77" spans="1:20" x14ac:dyDescent="0.15">
      <c r="A77" s="31"/>
      <c r="B77" s="31"/>
      <c r="C77" s="7">
        <v>2</v>
      </c>
      <c r="D77" s="5">
        <f t="shared" si="15"/>
        <v>17.7</v>
      </c>
      <c r="E77" s="5">
        <f t="shared" si="16"/>
        <v>18.3</v>
      </c>
      <c r="G77">
        <v>-0.317529758</v>
      </c>
      <c r="H77">
        <v>0.2454511248</v>
      </c>
      <c r="J77">
        <f>J76</f>
        <v>0.35429883010000002</v>
      </c>
      <c r="K77">
        <v>1.1721929728</v>
      </c>
      <c r="M77">
        <f t="shared" si="17"/>
        <v>0.18000000000000085</v>
      </c>
      <c r="N77" s="2">
        <f t="shared" si="18"/>
        <v>18</v>
      </c>
      <c r="P77" s="22"/>
      <c r="Q77">
        <v>16</v>
      </c>
      <c r="R77" s="14">
        <v>11.05</v>
      </c>
      <c r="S77" s="14">
        <v>13.05</v>
      </c>
      <c r="T77" s="22">
        <v>12.05</v>
      </c>
    </row>
    <row r="78" spans="1:20" x14ac:dyDescent="0.15">
      <c r="A78" s="31">
        <v>5</v>
      </c>
      <c r="B78" s="31" t="s">
        <v>16</v>
      </c>
      <c r="C78" s="7">
        <v>1</v>
      </c>
      <c r="D78" s="5">
        <f t="shared" si="15"/>
        <v>14.4</v>
      </c>
      <c r="E78" s="5">
        <f t="shared" si="16"/>
        <v>16.2</v>
      </c>
      <c r="G78">
        <v>-3.5253502999999999E-2</v>
      </c>
      <c r="H78">
        <v>1.7518207199</v>
      </c>
      <c r="J78">
        <v>-0.36951511199999998</v>
      </c>
      <c r="K78">
        <v>7.2567513E-2</v>
      </c>
      <c r="M78">
        <f t="shared" si="17"/>
        <v>1.6199999999999979</v>
      </c>
      <c r="N78" s="2">
        <f t="shared" si="18"/>
        <v>15.3</v>
      </c>
      <c r="O78">
        <f>DEVSQ(N78:N79)*2</f>
        <v>1.5624999999999911</v>
      </c>
      <c r="P78" s="22">
        <f>AVERAGE(D78:E79)</f>
        <v>15.924999999999999</v>
      </c>
      <c r="Q78">
        <v>17</v>
      </c>
      <c r="R78" s="14">
        <v>17.450000000000003</v>
      </c>
      <c r="S78" s="14">
        <v>14.649999999999999</v>
      </c>
      <c r="T78" s="22">
        <v>16.05</v>
      </c>
    </row>
    <row r="79" spans="1:20" x14ac:dyDescent="0.15">
      <c r="A79" s="31"/>
      <c r="B79" s="31"/>
      <c r="C79" s="7">
        <v>2</v>
      </c>
      <c r="D79" s="5">
        <f t="shared" si="15"/>
        <v>16.7</v>
      </c>
      <c r="E79" s="5">
        <f t="shared" si="16"/>
        <v>16.399999999999999</v>
      </c>
      <c r="G79">
        <v>-2.6032329E-2</v>
      </c>
      <c r="H79">
        <v>-0.267972286</v>
      </c>
      <c r="J79">
        <f>J78</f>
        <v>-0.36951511199999998</v>
      </c>
      <c r="K79">
        <v>1.2212328707</v>
      </c>
      <c r="M79">
        <f t="shared" si="17"/>
        <v>4.5000000000000213E-2</v>
      </c>
      <c r="N79" s="2">
        <f t="shared" si="18"/>
        <v>16.549999999999997</v>
      </c>
      <c r="P79" s="22"/>
      <c r="Q79">
        <v>18</v>
      </c>
      <c r="R79" s="14">
        <v>18.350000000000001</v>
      </c>
      <c r="S79" s="14">
        <v>11.55</v>
      </c>
      <c r="T79" s="22">
        <v>14.95</v>
      </c>
    </row>
    <row r="80" spans="1:20" x14ac:dyDescent="0.15">
      <c r="A80" s="31"/>
      <c r="B80" s="31" t="s">
        <v>17</v>
      </c>
      <c r="C80" s="7">
        <v>1</v>
      </c>
      <c r="D80" s="5">
        <f t="shared" si="15"/>
        <v>12.7</v>
      </c>
      <c r="E80" s="5">
        <f t="shared" si="16"/>
        <v>14.3</v>
      </c>
      <c r="G80">
        <v>-1.7515216069999999</v>
      </c>
      <c r="H80">
        <v>-0.23408823200000001</v>
      </c>
      <c r="J80">
        <v>0.39939917409999998</v>
      </c>
      <c r="K80">
        <v>-0.65659468499999996</v>
      </c>
      <c r="M80">
        <f t="shared" si="17"/>
        <v>1.2800000000000022</v>
      </c>
      <c r="N80" s="2">
        <f t="shared" si="18"/>
        <v>13.5</v>
      </c>
      <c r="O80">
        <f>DEVSQ(N80:N81)*2</f>
        <v>13.690000000000021</v>
      </c>
      <c r="P80" s="22">
        <f>AVERAGE(D80:E81)</f>
        <v>15.35</v>
      </c>
      <c r="Q80">
        <v>19</v>
      </c>
      <c r="R80" s="14">
        <v>15.649999999999999</v>
      </c>
      <c r="S80" s="14">
        <v>14.8</v>
      </c>
      <c r="T80" s="22">
        <v>15.224999999999998</v>
      </c>
    </row>
    <row r="81" spans="1:20" x14ac:dyDescent="0.15">
      <c r="A81" s="31"/>
      <c r="B81" s="31"/>
      <c r="C81" s="7">
        <v>2</v>
      </c>
      <c r="D81" s="5">
        <f t="shared" si="15"/>
        <v>17.3</v>
      </c>
      <c r="E81" s="5">
        <f t="shared" si="16"/>
        <v>17.100000000000001</v>
      </c>
      <c r="G81">
        <v>1.0900309365</v>
      </c>
      <c r="H81">
        <v>0.89234838579999998</v>
      </c>
      <c r="J81">
        <f>J80</f>
        <v>0.39939917409999998</v>
      </c>
      <c r="K81">
        <v>0.2129754901</v>
      </c>
      <c r="M81">
        <f t="shared" si="17"/>
        <v>1.9999999999999858E-2</v>
      </c>
      <c r="N81" s="2">
        <f t="shared" si="18"/>
        <v>17.200000000000003</v>
      </c>
      <c r="P81" s="22"/>
      <c r="Q81">
        <v>20</v>
      </c>
      <c r="R81" s="14">
        <v>18.25</v>
      </c>
      <c r="S81" s="14">
        <v>12.7</v>
      </c>
      <c r="T81" s="22">
        <v>15.475</v>
      </c>
    </row>
    <row r="82" spans="1:20" x14ac:dyDescent="0.15">
      <c r="A82" s="31">
        <v>6</v>
      </c>
      <c r="B82" s="31" t="s">
        <v>16</v>
      </c>
      <c r="C82" s="7">
        <v>1</v>
      </c>
      <c r="D82" s="5">
        <f t="shared" si="15"/>
        <v>13.8</v>
      </c>
      <c r="E82" s="5">
        <f t="shared" si="16"/>
        <v>12.8</v>
      </c>
      <c r="G82">
        <v>1.0146659710999999</v>
      </c>
      <c r="H82">
        <v>3.2015122299999997E-2</v>
      </c>
      <c r="J82">
        <v>0.1628161015</v>
      </c>
      <c r="K82">
        <v>-1.274379685</v>
      </c>
      <c r="M82">
        <f t="shared" si="17"/>
        <v>0.5</v>
      </c>
      <c r="N82" s="2">
        <f t="shared" si="18"/>
        <v>13.3</v>
      </c>
      <c r="O82">
        <f>DEVSQ(N82:N83)*2</f>
        <v>4.2024999999999952</v>
      </c>
      <c r="P82" s="22">
        <f>AVERAGE(D82:E83)</f>
        <v>14.324999999999999</v>
      </c>
      <c r="Q82" t="s">
        <v>76</v>
      </c>
      <c r="R82" s="22">
        <f>AVERAGE(R62:R81)</f>
        <v>15.73</v>
      </c>
      <c r="S82" s="14">
        <f t="shared" ref="S82" si="19">AVERAGE(S62:S81)</f>
        <v>15.167499999999999</v>
      </c>
      <c r="T82" s="8">
        <f>AVERAGE(T62:T81)</f>
        <v>15.448750000000004</v>
      </c>
    </row>
    <row r="83" spans="1:20" x14ac:dyDescent="0.15">
      <c r="A83" s="31"/>
      <c r="B83" s="31"/>
      <c r="C83" s="7">
        <v>2</v>
      </c>
      <c r="D83" s="5">
        <f t="shared" si="15"/>
        <v>16.7</v>
      </c>
      <c r="E83" s="5">
        <f t="shared" si="16"/>
        <v>14</v>
      </c>
      <c r="G83">
        <v>1.1364750633</v>
      </c>
      <c r="H83">
        <v>-1.5623274840000001</v>
      </c>
      <c r="J83">
        <f>J82</f>
        <v>0.1628161015</v>
      </c>
      <c r="K83">
        <v>0.106232989</v>
      </c>
      <c r="M83">
        <f t="shared" si="17"/>
        <v>3.6449999999999982</v>
      </c>
      <c r="N83" s="2">
        <f t="shared" si="18"/>
        <v>15.35</v>
      </c>
      <c r="P83" s="22"/>
      <c r="R83" s="22"/>
    </row>
    <row r="84" spans="1:20" x14ac:dyDescent="0.15">
      <c r="A84" s="31"/>
      <c r="B84" s="31" t="s">
        <v>17</v>
      </c>
      <c r="C84" s="7">
        <v>1</v>
      </c>
      <c r="D84" s="5">
        <f t="shared" si="15"/>
        <v>17.899999999999999</v>
      </c>
      <c r="E84" s="5">
        <f t="shared" si="16"/>
        <v>16.100000000000001</v>
      </c>
      <c r="G84">
        <v>0.50985045389999994</v>
      </c>
      <c r="H84">
        <v>-1.276009167</v>
      </c>
      <c r="J84">
        <v>-0.339145325</v>
      </c>
      <c r="K84">
        <v>1.5242401361</v>
      </c>
      <c r="M84">
        <f t="shared" si="17"/>
        <v>1.6199999999999948</v>
      </c>
      <c r="N84" s="2">
        <f t="shared" si="18"/>
        <v>17</v>
      </c>
      <c r="O84">
        <f>DEVSQ(N84:N85)*2</f>
        <v>13.322500000000002</v>
      </c>
      <c r="P84" s="22">
        <f>AVERAGE(D84:E85)</f>
        <v>15.175000000000001</v>
      </c>
      <c r="R84" s="22">
        <f>AVERAGE(D62:E101)</f>
        <v>15.448749999999999</v>
      </c>
    </row>
    <row r="85" spans="1:20" x14ac:dyDescent="0.15">
      <c r="A85" s="31"/>
      <c r="B85" s="31"/>
      <c r="C85" s="7">
        <v>2</v>
      </c>
      <c r="D85" s="5">
        <f t="shared" si="15"/>
        <v>14.1</v>
      </c>
      <c r="E85" s="5">
        <f t="shared" si="16"/>
        <v>12.6</v>
      </c>
      <c r="G85">
        <v>0.3584145668</v>
      </c>
      <c r="H85">
        <v>-1.186043792</v>
      </c>
      <c r="J85">
        <f>J84</f>
        <v>-0.339145325</v>
      </c>
      <c r="K85">
        <v>-0.28419219600000001</v>
      </c>
      <c r="M85">
        <f t="shared" si="17"/>
        <v>1.125</v>
      </c>
      <c r="N85" s="2">
        <f t="shared" si="18"/>
        <v>13.35</v>
      </c>
      <c r="P85" s="22"/>
      <c r="R85" s="22"/>
    </row>
    <row r="86" spans="1:20" x14ac:dyDescent="0.15">
      <c r="A86" s="31">
        <v>7</v>
      </c>
      <c r="B86" s="31" t="s">
        <v>16</v>
      </c>
      <c r="C86" s="7">
        <v>1</v>
      </c>
      <c r="D86" s="5">
        <f t="shared" si="15"/>
        <v>11.6</v>
      </c>
      <c r="E86" s="5">
        <f t="shared" si="16"/>
        <v>13.1</v>
      </c>
      <c r="G86">
        <v>-0.156095966</v>
      </c>
      <c r="H86">
        <v>1.3938482483000001</v>
      </c>
      <c r="J86">
        <v>-0.23690921500000001</v>
      </c>
      <c r="K86">
        <v>-1.391783625</v>
      </c>
      <c r="M86">
        <f t="shared" si="17"/>
        <v>1.125</v>
      </c>
      <c r="N86" s="2">
        <f t="shared" si="18"/>
        <v>12.35</v>
      </c>
      <c r="O86">
        <f>DEVSQ(N86:N87)*2</f>
        <v>3.6100000000000012</v>
      </c>
      <c r="P86" s="22">
        <f>AVERAGE(D86:E87)</f>
        <v>13.3</v>
      </c>
    </row>
    <row r="87" spans="1:20" x14ac:dyDescent="0.15">
      <c r="A87" s="31"/>
      <c r="B87" s="31"/>
      <c r="C87" s="7">
        <v>2</v>
      </c>
      <c r="D87" s="5">
        <f t="shared" si="15"/>
        <v>14.7</v>
      </c>
      <c r="E87" s="5">
        <f t="shared" si="16"/>
        <v>13.8</v>
      </c>
      <c r="G87">
        <v>1.8072351741999999</v>
      </c>
      <c r="H87">
        <v>0.9080445332</v>
      </c>
      <c r="J87">
        <f>J86</f>
        <v>-0.23690921500000001</v>
      </c>
      <c r="K87">
        <v>-0.805520138</v>
      </c>
      <c r="M87">
        <f t="shared" si="17"/>
        <v>0.40499999999999869</v>
      </c>
      <c r="N87" s="2">
        <f t="shared" si="18"/>
        <v>14.25</v>
      </c>
      <c r="P87" s="22"/>
    </row>
    <row r="88" spans="1:20" x14ac:dyDescent="0.15">
      <c r="A88" s="31"/>
      <c r="B88" s="31" t="s">
        <v>17</v>
      </c>
      <c r="C88" s="7">
        <v>1</v>
      </c>
      <c r="D88" s="5">
        <f t="shared" si="15"/>
        <v>18.2</v>
      </c>
      <c r="E88" s="5">
        <f t="shared" si="16"/>
        <v>17</v>
      </c>
      <c r="G88">
        <v>-3.5589263000000003E-2</v>
      </c>
      <c r="H88">
        <v>-1.246418679</v>
      </c>
      <c r="J88">
        <v>1.6734896884999999</v>
      </c>
      <c r="K88">
        <v>-3.7916796000000003E-2</v>
      </c>
      <c r="M88">
        <f t="shared" si="17"/>
        <v>0.71999999999999909</v>
      </c>
      <c r="N88" s="2">
        <f t="shared" si="18"/>
        <v>17.600000000000001</v>
      </c>
      <c r="O88">
        <f>DEVSQ(N88:N89)*2</f>
        <v>3.8025000000000109</v>
      </c>
      <c r="P88" s="22">
        <f>AVERAGE(D88:E89)</f>
        <v>16.625</v>
      </c>
    </row>
    <row r="89" spans="1:20" x14ac:dyDescent="0.15">
      <c r="A89" s="31"/>
      <c r="B89" s="31"/>
      <c r="C89" s="7">
        <v>2</v>
      </c>
      <c r="D89" s="5">
        <f t="shared" si="15"/>
        <v>16.2</v>
      </c>
      <c r="E89" s="5">
        <f t="shared" si="16"/>
        <v>15.1</v>
      </c>
      <c r="G89">
        <v>-0.40060593</v>
      </c>
      <c r="H89">
        <v>-1.450094446</v>
      </c>
      <c r="J89">
        <f>J88</f>
        <v>1.6734896884999999</v>
      </c>
      <c r="K89">
        <v>-0.87994717099999997</v>
      </c>
      <c r="M89">
        <f t="shared" si="17"/>
        <v>0.60499999999999954</v>
      </c>
      <c r="N89" s="2">
        <f t="shared" si="18"/>
        <v>15.649999999999999</v>
      </c>
      <c r="P89" s="22"/>
    </row>
    <row r="90" spans="1:20" x14ac:dyDescent="0.15">
      <c r="A90" s="31">
        <v>8</v>
      </c>
      <c r="B90" s="31" t="s">
        <v>16</v>
      </c>
      <c r="C90" s="7">
        <v>1</v>
      </c>
      <c r="D90" s="5">
        <f t="shared" si="15"/>
        <v>23.1</v>
      </c>
      <c r="E90" s="5">
        <f t="shared" si="16"/>
        <v>23.4</v>
      </c>
      <c r="G90">
        <v>-0.95165786100000005</v>
      </c>
      <c r="H90">
        <v>-0.67697965400000004</v>
      </c>
      <c r="J90">
        <v>1.4338858276999999</v>
      </c>
      <c r="K90">
        <v>3.0848663650999999</v>
      </c>
      <c r="M90">
        <f t="shared" si="17"/>
        <v>4.4999999999999145E-2</v>
      </c>
      <c r="N90" s="2">
        <f t="shared" si="18"/>
        <v>23.25</v>
      </c>
      <c r="O90">
        <f>DEVSQ(N90:N91)*2</f>
        <v>79.210000000000008</v>
      </c>
      <c r="P90" s="22">
        <f>AVERAGE(D90:E91)</f>
        <v>18.8</v>
      </c>
    </row>
    <row r="91" spans="1:20" x14ac:dyDescent="0.15">
      <c r="A91" s="31"/>
      <c r="B91" s="31"/>
      <c r="C91" s="7">
        <v>2</v>
      </c>
      <c r="D91" s="5">
        <f t="shared" si="15"/>
        <v>13.1</v>
      </c>
      <c r="E91" s="5">
        <f t="shared" si="16"/>
        <v>15.6</v>
      </c>
      <c r="G91">
        <v>-1.3050756640000001</v>
      </c>
      <c r="H91">
        <v>1.2660281885</v>
      </c>
      <c r="J91">
        <f>J90</f>
        <v>1.4338858276999999</v>
      </c>
      <c r="K91">
        <v>-1.754549927</v>
      </c>
      <c r="M91">
        <f t="shared" si="17"/>
        <v>3.125</v>
      </c>
      <c r="N91" s="2">
        <f t="shared" si="18"/>
        <v>14.35</v>
      </c>
      <c r="P91" s="22"/>
    </row>
    <row r="92" spans="1:20" x14ac:dyDescent="0.15">
      <c r="A92" s="31"/>
      <c r="B92" s="31" t="s">
        <v>17</v>
      </c>
      <c r="C92" s="7">
        <v>1</v>
      </c>
      <c r="D92" s="5">
        <f t="shared" si="15"/>
        <v>10</v>
      </c>
      <c r="E92" s="5">
        <f t="shared" si="16"/>
        <v>12.1</v>
      </c>
      <c r="G92">
        <v>-1.5527402269999999</v>
      </c>
      <c r="H92">
        <v>0.4790084805</v>
      </c>
      <c r="J92">
        <v>-1.6583347749999999</v>
      </c>
      <c r="K92">
        <v>-4.3803808E-2</v>
      </c>
      <c r="M92">
        <f t="shared" si="17"/>
        <v>2.2049999999999992</v>
      </c>
      <c r="N92" s="2">
        <f t="shared" si="18"/>
        <v>11.05</v>
      </c>
      <c r="O92">
        <f>DEVSQ(N92:N93)*2</f>
        <v>4</v>
      </c>
      <c r="P92" s="22">
        <f>AVERAGE(D92:E93)</f>
        <v>12.05</v>
      </c>
    </row>
    <row r="93" spans="1:20" x14ac:dyDescent="0.15">
      <c r="A93" s="31"/>
      <c r="B93" s="31"/>
      <c r="C93" s="7">
        <v>2</v>
      </c>
      <c r="D93" s="5">
        <f t="shared" si="15"/>
        <v>13.5</v>
      </c>
      <c r="E93" s="5">
        <f t="shared" si="16"/>
        <v>12.6</v>
      </c>
      <c r="G93">
        <v>0.3035786647</v>
      </c>
      <c r="H93">
        <v>-0.60432647500000003</v>
      </c>
      <c r="J93">
        <f>J92</f>
        <v>-1.6583347749999999</v>
      </c>
      <c r="K93">
        <v>0.77293948749999997</v>
      </c>
      <c r="M93">
        <f t="shared" si="17"/>
        <v>0.4050000000000003</v>
      </c>
      <c r="N93" s="2">
        <f t="shared" si="18"/>
        <v>13.05</v>
      </c>
      <c r="P93" s="22"/>
    </row>
    <row r="94" spans="1:20" x14ac:dyDescent="0.15">
      <c r="A94" s="31">
        <v>9</v>
      </c>
      <c r="B94" s="31" t="s">
        <v>16</v>
      </c>
      <c r="C94" s="7">
        <v>1</v>
      </c>
      <c r="D94" s="5">
        <f t="shared" si="15"/>
        <v>18.3</v>
      </c>
      <c r="E94" s="5">
        <f t="shared" si="16"/>
        <v>16.600000000000001</v>
      </c>
      <c r="G94">
        <v>0.73442307760000003</v>
      </c>
      <c r="H94">
        <v>-0.98679478700000001</v>
      </c>
      <c r="J94">
        <v>0.78839956369999997</v>
      </c>
      <c r="K94">
        <v>0.48400823170000001</v>
      </c>
      <c r="M94">
        <f t="shared" si="17"/>
        <v>1.4449999999999987</v>
      </c>
      <c r="N94" s="2">
        <f t="shared" si="18"/>
        <v>17.450000000000003</v>
      </c>
      <c r="O94">
        <f>DEVSQ(N94:N95)*2</f>
        <v>7.8400000000000238</v>
      </c>
      <c r="P94" s="22">
        <f>AVERAGE(D94:E95)</f>
        <v>16.05</v>
      </c>
    </row>
    <row r="95" spans="1:20" x14ac:dyDescent="0.15">
      <c r="A95" s="31"/>
      <c r="B95" s="31"/>
      <c r="C95" s="7">
        <v>2</v>
      </c>
      <c r="D95" s="5">
        <f t="shared" si="15"/>
        <v>13.7</v>
      </c>
      <c r="E95" s="5">
        <f t="shared" si="16"/>
        <v>15.6</v>
      </c>
      <c r="G95">
        <v>-1.549124596</v>
      </c>
      <c r="H95">
        <v>0.29997790870000002</v>
      </c>
      <c r="J95">
        <f>J94</f>
        <v>0.78839956369999997</v>
      </c>
      <c r="K95">
        <v>-0.64725438700000004</v>
      </c>
      <c r="M95">
        <f t="shared" si="17"/>
        <v>1.8050000000000006</v>
      </c>
      <c r="N95" s="2">
        <f t="shared" si="18"/>
        <v>14.649999999999999</v>
      </c>
      <c r="P95" s="22"/>
    </row>
    <row r="96" spans="1:20" x14ac:dyDescent="0.15">
      <c r="A96" s="31"/>
      <c r="B96" s="31" t="s">
        <v>17</v>
      </c>
      <c r="C96" s="7">
        <v>1</v>
      </c>
      <c r="D96" s="5">
        <f t="shared" si="15"/>
        <v>17.3</v>
      </c>
      <c r="E96" s="5">
        <f t="shared" si="16"/>
        <v>19.399999999999999</v>
      </c>
      <c r="G96">
        <v>-0.50284626200000004</v>
      </c>
      <c r="H96">
        <v>1.6426843127999999</v>
      </c>
      <c r="J96">
        <v>-0.27600290300000002</v>
      </c>
      <c r="K96">
        <v>1.6648439857999999</v>
      </c>
      <c r="M96">
        <f t="shared" si="17"/>
        <v>2.2049999999999956</v>
      </c>
      <c r="N96" s="2">
        <f t="shared" si="18"/>
        <v>18.350000000000001</v>
      </c>
      <c r="O96">
        <f>DEVSQ(N96:N97)*2</f>
        <v>46.240000000000009</v>
      </c>
      <c r="P96" s="22">
        <f>AVERAGE(D96:E97)</f>
        <v>14.95</v>
      </c>
    </row>
    <row r="97" spans="1:19" x14ac:dyDescent="0.15">
      <c r="A97" s="31"/>
      <c r="B97" s="31"/>
      <c r="C97" s="7">
        <v>2</v>
      </c>
      <c r="D97" s="5">
        <f t="shared" si="15"/>
        <v>10.8</v>
      </c>
      <c r="E97" s="5">
        <f t="shared" si="16"/>
        <v>12.3</v>
      </c>
      <c r="G97">
        <v>-1.5509027689999999</v>
      </c>
      <c r="H97">
        <v>-6.3275627000000001E-2</v>
      </c>
      <c r="J97">
        <f>J96</f>
        <v>-0.27600290300000002</v>
      </c>
      <c r="K97">
        <v>-1.057589444</v>
      </c>
      <c r="M97">
        <f t="shared" si="17"/>
        <v>1.125</v>
      </c>
      <c r="N97" s="2">
        <f t="shared" si="18"/>
        <v>11.55</v>
      </c>
      <c r="P97" s="22"/>
    </row>
    <row r="98" spans="1:19" x14ac:dyDescent="0.15">
      <c r="A98" s="31">
        <v>10</v>
      </c>
      <c r="B98" s="31" t="s">
        <v>16</v>
      </c>
      <c r="C98" s="7">
        <v>1</v>
      </c>
      <c r="D98" s="5">
        <f t="shared" si="15"/>
        <v>15.6</v>
      </c>
      <c r="E98" s="5">
        <f t="shared" si="16"/>
        <v>15.7</v>
      </c>
      <c r="G98">
        <v>-0.90264767599999995</v>
      </c>
      <c r="H98">
        <v>-0.73232649000000005</v>
      </c>
      <c r="J98">
        <v>1.5339093779999999</v>
      </c>
      <c r="K98">
        <v>-0.79904476499999999</v>
      </c>
      <c r="M98">
        <f t="shared" si="17"/>
        <v>4.9999999999999645E-3</v>
      </c>
      <c r="N98" s="2">
        <f t="shared" si="18"/>
        <v>15.649999999999999</v>
      </c>
      <c r="O98">
        <f>DEVSQ(N98:N99)*2</f>
        <v>0.72249999999999637</v>
      </c>
      <c r="P98" s="22">
        <f>AVERAGE(D98:E99)</f>
        <v>15.224999999999998</v>
      </c>
    </row>
    <row r="99" spans="1:19" x14ac:dyDescent="0.15">
      <c r="A99" s="31"/>
      <c r="B99" s="31"/>
      <c r="C99" s="7">
        <v>2</v>
      </c>
      <c r="D99" s="5">
        <f t="shared" si="15"/>
        <v>15.3</v>
      </c>
      <c r="E99" s="5">
        <f t="shared" si="16"/>
        <v>14.3</v>
      </c>
      <c r="G99">
        <v>-0.60779996599999997</v>
      </c>
      <c r="H99">
        <v>-1.655178448</v>
      </c>
      <c r="J99">
        <f>J98</f>
        <v>1.5339093779999999</v>
      </c>
      <c r="K99">
        <v>-1.067814169</v>
      </c>
      <c r="M99">
        <f t="shared" si="17"/>
        <v>0.5</v>
      </c>
      <c r="N99" s="2">
        <f t="shared" si="18"/>
        <v>14.8</v>
      </c>
      <c r="P99" s="22"/>
    </row>
    <row r="100" spans="1:19" x14ac:dyDescent="0.15">
      <c r="A100" s="31"/>
      <c r="B100" s="31" t="s">
        <v>17</v>
      </c>
      <c r="C100" s="7">
        <v>1</v>
      </c>
      <c r="D100" s="5">
        <f t="shared" si="15"/>
        <v>18.5</v>
      </c>
      <c r="E100" s="5">
        <f t="shared" si="16"/>
        <v>18</v>
      </c>
      <c r="G100">
        <v>0.66665570559999998</v>
      </c>
      <c r="H100">
        <v>0.15940377219999999</v>
      </c>
      <c r="J100">
        <v>0.1842793754</v>
      </c>
      <c r="K100">
        <v>1.2339898766999999</v>
      </c>
      <c r="M100">
        <f t="shared" si="17"/>
        <v>0.125</v>
      </c>
      <c r="N100" s="2">
        <f t="shared" si="18"/>
        <v>18.25</v>
      </c>
      <c r="O100">
        <f>DEVSQ(N100:N101)*2</f>
        <v>30.802500000000009</v>
      </c>
      <c r="P100" s="22">
        <f>AVERAGE(D100:E101)</f>
        <v>15.475</v>
      </c>
    </row>
    <row r="101" spans="1:19" x14ac:dyDescent="0.15">
      <c r="A101" s="31"/>
      <c r="B101" s="31"/>
      <c r="C101" s="7">
        <v>2</v>
      </c>
      <c r="D101" s="5">
        <f t="shared" si="15"/>
        <v>12.8</v>
      </c>
      <c r="E101" s="5">
        <f t="shared" si="16"/>
        <v>12.6</v>
      </c>
      <c r="G101">
        <v>1.0293615693</v>
      </c>
      <c r="H101">
        <v>0.86408293749999998</v>
      </c>
      <c r="J101">
        <f>J100</f>
        <v>0.1842793754</v>
      </c>
      <c r="K101">
        <v>-1.8003134409999999</v>
      </c>
      <c r="M101">
        <f>DEVSQ(D101:E101)</f>
        <v>2.0000000000000212E-2</v>
      </c>
      <c r="N101" s="2">
        <f t="shared" si="18"/>
        <v>12.7</v>
      </c>
      <c r="P101" s="22"/>
    </row>
    <row r="102" spans="1:19" x14ac:dyDescent="0.15">
      <c r="P102" s="22"/>
    </row>
    <row r="104" spans="1:19" x14ac:dyDescent="0.15">
      <c r="J104" t="s">
        <v>36</v>
      </c>
      <c r="L104" t="s">
        <v>27</v>
      </c>
      <c r="M104" t="s">
        <v>28</v>
      </c>
      <c r="N104" t="s">
        <v>31</v>
      </c>
      <c r="O104" t="s">
        <v>32</v>
      </c>
      <c r="Q104" t="s">
        <v>33</v>
      </c>
      <c r="S104" t="s">
        <v>37</v>
      </c>
    </row>
    <row r="105" spans="1:19" x14ac:dyDescent="0.15">
      <c r="J105" s="8">
        <f>AVERAGE(D62:E101)</f>
        <v>15.448749999999999</v>
      </c>
      <c r="L105" t="s">
        <v>15</v>
      </c>
      <c r="M105">
        <f>4*DEVSQ(P62:P101)</f>
        <v>417.64237500000007</v>
      </c>
      <c r="N105">
        <v>19</v>
      </c>
      <c r="O105">
        <f>M105/N105</f>
        <v>21.981177631578952</v>
      </c>
      <c r="Q105">
        <f>(O105-O106)/4</f>
        <v>2.2540131578947364</v>
      </c>
      <c r="R105">
        <f>Q105^0.5</f>
        <v>1.5013371233319772</v>
      </c>
    </row>
    <row r="106" spans="1:19" x14ac:dyDescent="0.15">
      <c r="L106" t="s">
        <v>29</v>
      </c>
      <c r="M106" s="9">
        <f>SUM(O62:O101)</f>
        <v>259.30250000000012</v>
      </c>
      <c r="N106">
        <v>20</v>
      </c>
      <c r="O106">
        <f t="shared" ref="O106:O107" si="20">M106/N106</f>
        <v>12.965125000000006</v>
      </c>
      <c r="Q106">
        <f>(O106-O107)/2</f>
        <v>5.8818750000000026</v>
      </c>
      <c r="R106">
        <f t="shared" ref="R106:R107" si="21">Q106^0.5</f>
        <v>2.4252577182641852</v>
      </c>
    </row>
    <row r="107" spans="1:19" x14ac:dyDescent="0.15">
      <c r="L107" t="s">
        <v>25</v>
      </c>
      <c r="M107" s="22">
        <f>SUM(M62:M101)</f>
        <v>48.054999999999986</v>
      </c>
      <c r="N107">
        <v>40</v>
      </c>
      <c r="O107">
        <f t="shared" si="20"/>
        <v>1.2013749999999996</v>
      </c>
      <c r="Q107">
        <f>O107</f>
        <v>1.2013749999999996</v>
      </c>
      <c r="R107">
        <f t="shared" si="21"/>
        <v>1.0960725340961699</v>
      </c>
      <c r="S107">
        <f>8/(6*R107)</f>
        <v>1.2164645056385894</v>
      </c>
    </row>
    <row r="108" spans="1:19" x14ac:dyDescent="0.15">
      <c r="L108" t="s">
        <v>30</v>
      </c>
      <c r="M108">
        <f>DEVSQ(D62:E101)</f>
        <v>724.9998750000002</v>
      </c>
      <c r="N108" s="10">
        <f>COUNT(D62:E101)-1</f>
        <v>79</v>
      </c>
      <c r="Q108">
        <f>SUM(Q105:Q107)</f>
        <v>9.3372631578947392</v>
      </c>
      <c r="R108">
        <f>Q108^0.5</f>
        <v>3.055693564134784</v>
      </c>
    </row>
    <row r="110" spans="1:19" x14ac:dyDescent="0.15">
      <c r="M110">
        <f>SUM(M105:M107)</f>
        <v>724.99987500000009</v>
      </c>
      <c r="N110">
        <f>SUM(N105:N107)</f>
        <v>79</v>
      </c>
      <c r="Q110">
        <f>Q105+Q107</f>
        <v>3.4553881578947361</v>
      </c>
      <c r="R110">
        <f>SQRT(Q110)</f>
        <v>1.8588674395703251</v>
      </c>
      <c r="S110">
        <f>8/(6*R110)</f>
        <v>0.71728263401156334</v>
      </c>
    </row>
    <row r="111" spans="1:19" x14ac:dyDescent="0.15">
      <c r="Q111">
        <f>Q106+Q107</f>
        <v>7.0832500000000023</v>
      </c>
      <c r="R111">
        <f>SQRT(Q111)</f>
        <v>2.6614375814585625</v>
      </c>
      <c r="S111">
        <f>8/(6*R111)</f>
        <v>0.50098237983196259</v>
      </c>
    </row>
    <row r="113" spans="1:16" x14ac:dyDescent="0.15">
      <c r="A113" s="11" t="s">
        <v>72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</row>
    <row r="114" spans="1:16" x14ac:dyDescent="0.15">
      <c r="K114" s="29" t="s">
        <v>73</v>
      </c>
      <c r="L114" s="29"/>
      <c r="M114" s="29" t="s">
        <v>69</v>
      </c>
      <c r="N114" s="29"/>
      <c r="O114" s="29" t="s">
        <v>74</v>
      </c>
      <c r="P114" s="29"/>
    </row>
    <row r="115" spans="1:16" x14ac:dyDescent="0.15">
      <c r="A115" s="15" t="s">
        <v>0</v>
      </c>
      <c r="B115" s="15" t="s">
        <v>1</v>
      </c>
      <c r="C115" s="33" t="s">
        <v>2</v>
      </c>
      <c r="D115" s="34"/>
      <c r="E115" s="34"/>
      <c r="F115" s="35"/>
      <c r="G115" s="33" t="s">
        <v>4</v>
      </c>
      <c r="H115" s="34"/>
      <c r="I115" s="34"/>
      <c r="J115" s="35"/>
      <c r="K115" s="16" t="s">
        <v>50</v>
      </c>
      <c r="L115" s="16" t="s">
        <v>51</v>
      </c>
      <c r="M115" s="17" t="s">
        <v>50</v>
      </c>
      <c r="N115" s="17" t="s">
        <v>51</v>
      </c>
      <c r="O115" s="17" t="s">
        <v>50</v>
      </c>
      <c r="P115" s="17" t="s">
        <v>51</v>
      </c>
    </row>
    <row r="116" spans="1:16" x14ac:dyDescent="0.15">
      <c r="A116" s="4">
        <v>42499</v>
      </c>
      <c r="B116" s="16" t="s">
        <v>6</v>
      </c>
      <c r="C116" s="19">
        <v>17.600000000000001</v>
      </c>
      <c r="D116" s="19">
        <v>17.5</v>
      </c>
      <c r="E116" s="19">
        <v>17.100000000000001</v>
      </c>
      <c r="F116" s="19">
        <v>18</v>
      </c>
      <c r="G116" s="19">
        <v>17.399999999999999</v>
      </c>
      <c r="H116" s="19">
        <v>19.600000000000001</v>
      </c>
      <c r="I116" s="19">
        <v>19</v>
      </c>
      <c r="J116" s="19">
        <v>13.3</v>
      </c>
      <c r="K116" s="21">
        <f>AVERAGE(C116:J116)</f>
        <v>17.4375</v>
      </c>
      <c r="L116" s="20">
        <f>MAX(C116:J116)-MIN(C116:J116)</f>
        <v>6.3000000000000007</v>
      </c>
      <c r="M116" s="21">
        <f>AVERAGE(C116:F116)</f>
        <v>17.55</v>
      </c>
      <c r="N116" s="20">
        <f>MAX(C116:F116)-MIN(C116:F116)</f>
        <v>0.89999999999999858</v>
      </c>
      <c r="O116" s="21">
        <f>AVERAGE(G116:J116)</f>
        <v>17.324999999999999</v>
      </c>
      <c r="P116" s="20">
        <f>MAX(G116:J116)-MIN(G116:J116)</f>
        <v>6.3000000000000007</v>
      </c>
    </row>
    <row r="117" spans="1:16" x14ac:dyDescent="0.15">
      <c r="A117" s="4">
        <v>42500</v>
      </c>
      <c r="B117" s="16" t="s">
        <v>7</v>
      </c>
      <c r="C117" s="19">
        <v>15.7</v>
      </c>
      <c r="D117" s="19">
        <v>16.7</v>
      </c>
      <c r="E117" s="19">
        <v>17.100000000000001</v>
      </c>
      <c r="F117" s="19">
        <v>16.7</v>
      </c>
      <c r="G117" s="19">
        <v>16.5</v>
      </c>
      <c r="H117" s="19">
        <v>15.1</v>
      </c>
      <c r="I117" s="19">
        <v>13.6</v>
      </c>
      <c r="J117" s="19">
        <v>13.7</v>
      </c>
      <c r="K117" s="21">
        <f t="shared" ref="K117:K140" si="22">AVERAGE(C117:J117)</f>
        <v>15.637499999999999</v>
      </c>
      <c r="L117" s="20">
        <f t="shared" ref="L117:L140" si="23">MAX(C117:J117)-MIN(C117:J117)</f>
        <v>3.5000000000000018</v>
      </c>
      <c r="M117" s="21">
        <f t="shared" ref="M117:M139" si="24">AVERAGE(C117:F117)</f>
        <v>16.55</v>
      </c>
      <c r="N117" s="20">
        <f t="shared" ref="N117:N138" si="25">MAX(C117:F117)-MIN(C117:F117)</f>
        <v>1.4000000000000021</v>
      </c>
      <c r="O117" s="21">
        <f t="shared" ref="O117:O139" si="26">AVERAGE(G117:J117)</f>
        <v>14.725000000000001</v>
      </c>
      <c r="P117" s="20">
        <f t="shared" ref="P117:P138" si="27">MAX(G117:J117)-MIN(G117:J117)</f>
        <v>2.9000000000000004</v>
      </c>
    </row>
    <row r="118" spans="1:16" x14ac:dyDescent="0.15">
      <c r="A118" s="4">
        <v>42501</v>
      </c>
      <c r="B118" s="16" t="s">
        <v>8</v>
      </c>
      <c r="C118" s="19">
        <v>16.8</v>
      </c>
      <c r="D118" s="19">
        <v>18.7</v>
      </c>
      <c r="E118" s="19">
        <v>14.9</v>
      </c>
      <c r="F118" s="19">
        <v>17.3</v>
      </c>
      <c r="G118" s="19">
        <v>13.5</v>
      </c>
      <c r="H118" s="19">
        <v>13.8</v>
      </c>
      <c r="I118" s="19">
        <v>19.100000000000001</v>
      </c>
      <c r="J118" s="19">
        <v>12.9</v>
      </c>
      <c r="K118" s="21">
        <f t="shared" si="22"/>
        <v>15.875</v>
      </c>
      <c r="L118" s="20">
        <f t="shared" si="23"/>
        <v>6.2000000000000011</v>
      </c>
      <c r="M118" s="21">
        <f t="shared" si="24"/>
        <v>16.925000000000001</v>
      </c>
      <c r="N118" s="20">
        <f t="shared" si="25"/>
        <v>3.7999999999999989</v>
      </c>
      <c r="O118" s="21">
        <f t="shared" si="26"/>
        <v>14.825000000000001</v>
      </c>
      <c r="P118" s="20">
        <f t="shared" si="27"/>
        <v>6.2000000000000011</v>
      </c>
    </row>
    <row r="119" spans="1:16" x14ac:dyDescent="0.15">
      <c r="A119" s="4">
        <v>42502</v>
      </c>
      <c r="B119" s="16" t="s">
        <v>9</v>
      </c>
      <c r="C119" s="19">
        <v>16.600000000000001</v>
      </c>
      <c r="D119" s="19">
        <v>18</v>
      </c>
      <c r="E119" s="19">
        <v>15.2</v>
      </c>
      <c r="F119" s="19">
        <v>15.5</v>
      </c>
      <c r="G119" s="19">
        <v>19</v>
      </c>
      <c r="H119" s="19">
        <v>17.7</v>
      </c>
      <c r="I119" s="19">
        <v>17.100000000000001</v>
      </c>
      <c r="J119" s="19">
        <v>18.3</v>
      </c>
      <c r="K119" s="21">
        <f t="shared" si="22"/>
        <v>17.175000000000001</v>
      </c>
      <c r="L119" s="20">
        <f t="shared" si="23"/>
        <v>3.8000000000000007</v>
      </c>
      <c r="M119" s="21">
        <f t="shared" si="24"/>
        <v>16.324999999999999</v>
      </c>
      <c r="N119" s="20">
        <f t="shared" si="25"/>
        <v>2.8000000000000007</v>
      </c>
      <c r="O119" s="21">
        <f t="shared" si="26"/>
        <v>18.025000000000002</v>
      </c>
      <c r="P119" s="20">
        <f t="shared" si="27"/>
        <v>1.8999999999999986</v>
      </c>
    </row>
    <row r="120" spans="1:16" x14ac:dyDescent="0.15">
      <c r="A120" s="4">
        <v>42503</v>
      </c>
      <c r="B120" s="16" t="s">
        <v>10</v>
      </c>
      <c r="C120" s="19">
        <v>16.600000000000001</v>
      </c>
      <c r="D120" s="19">
        <v>15.8</v>
      </c>
      <c r="E120" s="19">
        <v>17.5</v>
      </c>
      <c r="F120" s="19">
        <v>17.2</v>
      </c>
      <c r="G120" s="19">
        <v>13.1</v>
      </c>
      <c r="H120" s="19">
        <v>14.1</v>
      </c>
      <c r="I120" s="19">
        <v>15.3</v>
      </c>
      <c r="J120" s="19">
        <v>16.8</v>
      </c>
      <c r="K120" s="21">
        <f t="shared" si="22"/>
        <v>15.799999999999999</v>
      </c>
      <c r="L120" s="20">
        <f t="shared" si="23"/>
        <v>4.4000000000000004</v>
      </c>
      <c r="M120" s="21">
        <f t="shared" si="24"/>
        <v>16.775000000000002</v>
      </c>
      <c r="N120" s="20">
        <f t="shared" si="25"/>
        <v>1.6999999999999993</v>
      </c>
      <c r="O120" s="21">
        <f t="shared" si="26"/>
        <v>14.824999999999999</v>
      </c>
      <c r="P120" s="20">
        <f t="shared" si="27"/>
        <v>3.7000000000000011</v>
      </c>
    </row>
    <row r="121" spans="1:16" x14ac:dyDescent="0.15">
      <c r="A121" s="4">
        <v>42506</v>
      </c>
      <c r="B121" s="16" t="s">
        <v>6</v>
      </c>
      <c r="C121" s="19">
        <v>16.899999999999999</v>
      </c>
      <c r="D121" s="19">
        <v>14.4</v>
      </c>
      <c r="E121" s="19">
        <v>15.8</v>
      </c>
      <c r="F121" s="19">
        <v>15.9</v>
      </c>
      <c r="G121" s="19">
        <v>17.600000000000001</v>
      </c>
      <c r="H121" s="19">
        <v>13</v>
      </c>
      <c r="I121" s="19">
        <v>10.9</v>
      </c>
      <c r="J121" s="19">
        <v>15.1</v>
      </c>
      <c r="K121" s="21">
        <f t="shared" si="22"/>
        <v>14.95</v>
      </c>
      <c r="L121" s="20">
        <f t="shared" si="23"/>
        <v>6.7000000000000011</v>
      </c>
      <c r="M121" s="21">
        <f t="shared" si="24"/>
        <v>15.749999999999998</v>
      </c>
      <c r="N121" s="20">
        <f t="shared" si="25"/>
        <v>2.4999999999999982</v>
      </c>
      <c r="O121" s="21">
        <f t="shared" si="26"/>
        <v>14.15</v>
      </c>
      <c r="P121" s="20">
        <f t="shared" si="27"/>
        <v>6.7000000000000011</v>
      </c>
    </row>
    <row r="122" spans="1:16" x14ac:dyDescent="0.15">
      <c r="A122" s="4">
        <v>42507</v>
      </c>
      <c r="B122" s="16" t="s">
        <v>7</v>
      </c>
      <c r="C122" s="19">
        <v>17.100000000000001</v>
      </c>
      <c r="D122" s="19">
        <v>14.9</v>
      </c>
      <c r="E122" s="19">
        <v>16.399999999999999</v>
      </c>
      <c r="F122" s="19">
        <v>15.8</v>
      </c>
      <c r="G122" s="19">
        <v>11.5</v>
      </c>
      <c r="H122" s="19">
        <v>13.1</v>
      </c>
      <c r="I122" s="19">
        <v>16.899999999999999</v>
      </c>
      <c r="J122" s="19">
        <v>18.2</v>
      </c>
      <c r="K122" s="21">
        <f t="shared" si="22"/>
        <v>15.487499999999999</v>
      </c>
      <c r="L122" s="20">
        <f t="shared" si="23"/>
        <v>6.6999999999999993</v>
      </c>
      <c r="M122" s="21">
        <f t="shared" si="24"/>
        <v>16.05</v>
      </c>
      <c r="N122" s="20">
        <f t="shared" si="25"/>
        <v>2.2000000000000011</v>
      </c>
      <c r="O122" s="21">
        <f t="shared" si="26"/>
        <v>14.925000000000001</v>
      </c>
      <c r="P122" s="20">
        <f t="shared" si="27"/>
        <v>6.6999999999999993</v>
      </c>
    </row>
    <row r="123" spans="1:16" x14ac:dyDescent="0.15">
      <c r="A123" s="4">
        <v>42508</v>
      </c>
      <c r="B123" s="16" t="s">
        <v>8</v>
      </c>
      <c r="C123" s="19">
        <v>15.6</v>
      </c>
      <c r="D123" s="19">
        <v>16.399999999999999</v>
      </c>
      <c r="E123" s="19">
        <v>16.600000000000001</v>
      </c>
      <c r="F123" s="19">
        <v>14.9</v>
      </c>
      <c r="G123" s="19">
        <v>12.4</v>
      </c>
      <c r="H123" s="19">
        <v>13.5</v>
      </c>
      <c r="I123" s="19">
        <v>12.7</v>
      </c>
      <c r="J123" s="19">
        <v>15.1</v>
      </c>
      <c r="K123" s="21">
        <f t="shared" si="22"/>
        <v>14.65</v>
      </c>
      <c r="L123" s="20">
        <f t="shared" si="23"/>
        <v>4.2000000000000011</v>
      </c>
      <c r="M123" s="21">
        <f t="shared" si="24"/>
        <v>15.875</v>
      </c>
      <c r="N123" s="20">
        <f t="shared" si="25"/>
        <v>1.7000000000000011</v>
      </c>
      <c r="O123" s="21">
        <f t="shared" si="26"/>
        <v>13.424999999999999</v>
      </c>
      <c r="P123" s="20">
        <f t="shared" si="27"/>
        <v>2.6999999999999993</v>
      </c>
    </row>
    <row r="124" spans="1:16" x14ac:dyDescent="0.15">
      <c r="A124" s="4">
        <v>42509</v>
      </c>
      <c r="B124" s="16" t="s">
        <v>9</v>
      </c>
      <c r="C124" s="19">
        <v>14.8</v>
      </c>
      <c r="D124" s="19">
        <v>15.5</v>
      </c>
      <c r="E124" s="19">
        <v>14.8</v>
      </c>
      <c r="F124" s="19">
        <v>16.5</v>
      </c>
      <c r="G124" s="19">
        <v>15.9</v>
      </c>
      <c r="H124" s="19">
        <v>13.1</v>
      </c>
      <c r="I124" s="19">
        <v>17</v>
      </c>
      <c r="J124" s="19">
        <v>13.6</v>
      </c>
      <c r="K124" s="21">
        <f t="shared" si="22"/>
        <v>15.149999999999999</v>
      </c>
      <c r="L124" s="20">
        <f t="shared" si="23"/>
        <v>3.9000000000000004</v>
      </c>
      <c r="M124" s="21">
        <f t="shared" si="24"/>
        <v>15.4</v>
      </c>
      <c r="N124" s="20">
        <f t="shared" si="25"/>
        <v>1.6999999999999993</v>
      </c>
      <c r="O124" s="21">
        <f t="shared" si="26"/>
        <v>14.9</v>
      </c>
      <c r="P124" s="20">
        <f t="shared" si="27"/>
        <v>3.9000000000000004</v>
      </c>
    </row>
    <row r="125" spans="1:16" x14ac:dyDescent="0.15">
      <c r="A125" s="4">
        <v>42510</v>
      </c>
      <c r="B125" s="16" t="s">
        <v>10</v>
      </c>
      <c r="C125" s="19">
        <v>14.9</v>
      </c>
      <c r="D125" s="19">
        <v>15.8</v>
      </c>
      <c r="E125" s="19">
        <v>16.8</v>
      </c>
      <c r="F125" s="19">
        <v>14.6</v>
      </c>
      <c r="G125" s="19">
        <v>18.8</v>
      </c>
      <c r="H125" s="19">
        <v>17.8</v>
      </c>
      <c r="I125" s="19">
        <v>13.6</v>
      </c>
      <c r="J125" s="19">
        <v>14.9</v>
      </c>
      <c r="K125" s="21">
        <f t="shared" si="22"/>
        <v>15.9</v>
      </c>
      <c r="L125" s="20">
        <f t="shared" si="23"/>
        <v>5.2000000000000011</v>
      </c>
      <c r="M125" s="21">
        <f t="shared" si="24"/>
        <v>15.525</v>
      </c>
      <c r="N125" s="20">
        <f t="shared" si="25"/>
        <v>2.2000000000000011</v>
      </c>
      <c r="O125" s="21">
        <f t="shared" si="26"/>
        <v>16.275000000000002</v>
      </c>
      <c r="P125" s="20">
        <f t="shared" si="27"/>
        <v>5.2000000000000011</v>
      </c>
    </row>
    <row r="126" spans="1:16" x14ac:dyDescent="0.15">
      <c r="A126" s="4">
        <v>42513</v>
      </c>
      <c r="B126" s="16" t="s">
        <v>6</v>
      </c>
      <c r="C126" s="19">
        <v>14.9</v>
      </c>
      <c r="D126" s="19">
        <v>15.6</v>
      </c>
      <c r="E126" s="19">
        <v>16</v>
      </c>
      <c r="F126" s="19">
        <v>15.5</v>
      </c>
      <c r="G126" s="19">
        <v>17.3</v>
      </c>
      <c r="H126" s="19">
        <v>13.1</v>
      </c>
      <c r="I126" s="19">
        <v>22.4</v>
      </c>
      <c r="J126" s="19">
        <v>12.2</v>
      </c>
      <c r="K126" s="21">
        <f t="shared" si="22"/>
        <v>15.874999999999998</v>
      </c>
      <c r="L126" s="20">
        <f t="shared" si="23"/>
        <v>10.199999999999999</v>
      </c>
      <c r="M126" s="21">
        <f t="shared" si="24"/>
        <v>15.5</v>
      </c>
      <c r="N126" s="20">
        <f t="shared" si="25"/>
        <v>1.0999999999999996</v>
      </c>
      <c r="O126" s="21">
        <f t="shared" si="26"/>
        <v>16.25</v>
      </c>
      <c r="P126" s="20">
        <f t="shared" si="27"/>
        <v>10.199999999999999</v>
      </c>
    </row>
    <row r="127" spans="1:16" x14ac:dyDescent="0.15">
      <c r="A127" s="4">
        <v>42514</v>
      </c>
      <c r="B127" s="16" t="s">
        <v>7</v>
      </c>
      <c r="C127" s="19">
        <v>17.2</v>
      </c>
      <c r="D127" s="19">
        <v>16.2</v>
      </c>
      <c r="E127" s="19">
        <v>15</v>
      </c>
      <c r="F127" s="19">
        <v>16.600000000000001</v>
      </c>
      <c r="G127" s="19">
        <v>13.4</v>
      </c>
      <c r="H127" s="19">
        <v>14</v>
      </c>
      <c r="I127" s="19">
        <v>18</v>
      </c>
      <c r="J127" s="19">
        <v>18</v>
      </c>
      <c r="K127" s="21">
        <f t="shared" si="22"/>
        <v>16.05</v>
      </c>
      <c r="L127" s="20">
        <f t="shared" si="23"/>
        <v>4.5999999999999996</v>
      </c>
      <c r="M127" s="21">
        <f t="shared" si="24"/>
        <v>16.25</v>
      </c>
      <c r="N127" s="20">
        <f t="shared" si="25"/>
        <v>2.1999999999999993</v>
      </c>
      <c r="O127" s="21">
        <f t="shared" si="26"/>
        <v>15.85</v>
      </c>
      <c r="P127" s="20">
        <f t="shared" si="27"/>
        <v>4.5999999999999996</v>
      </c>
    </row>
    <row r="128" spans="1:16" x14ac:dyDescent="0.15">
      <c r="A128" s="4">
        <v>42515</v>
      </c>
      <c r="B128" s="16" t="s">
        <v>8</v>
      </c>
      <c r="C128" s="19">
        <v>14.6</v>
      </c>
      <c r="D128" s="19">
        <v>16.399999999999999</v>
      </c>
      <c r="E128" s="19">
        <v>15.8</v>
      </c>
      <c r="F128" s="19">
        <v>16.2</v>
      </c>
      <c r="G128" s="19">
        <v>16.3</v>
      </c>
      <c r="H128" s="19">
        <v>14.9</v>
      </c>
      <c r="I128" s="19">
        <v>17.7</v>
      </c>
      <c r="J128" s="19">
        <v>14</v>
      </c>
      <c r="K128" s="21">
        <f t="shared" si="22"/>
        <v>15.737500000000001</v>
      </c>
      <c r="L128" s="20">
        <f t="shared" si="23"/>
        <v>3.6999999999999993</v>
      </c>
      <c r="M128" s="21">
        <f t="shared" si="24"/>
        <v>15.75</v>
      </c>
      <c r="N128" s="20">
        <f t="shared" si="25"/>
        <v>1.7999999999999989</v>
      </c>
      <c r="O128" s="21">
        <f t="shared" si="26"/>
        <v>15.725000000000001</v>
      </c>
      <c r="P128" s="20">
        <f t="shared" si="27"/>
        <v>3.6999999999999993</v>
      </c>
    </row>
    <row r="129" spans="1:16" x14ac:dyDescent="0.15">
      <c r="A129" s="4">
        <v>42516</v>
      </c>
      <c r="B129" s="16" t="s">
        <v>9</v>
      </c>
      <c r="C129" s="19">
        <v>15.9</v>
      </c>
      <c r="D129" s="19">
        <v>13.9</v>
      </c>
      <c r="E129" s="19">
        <v>15.6</v>
      </c>
      <c r="F129" s="19">
        <v>14.9</v>
      </c>
      <c r="G129" s="19">
        <v>19.5</v>
      </c>
      <c r="H129" s="19">
        <v>13.4</v>
      </c>
      <c r="I129" s="19">
        <v>17</v>
      </c>
      <c r="J129" s="19">
        <v>11.6</v>
      </c>
      <c r="K129" s="21">
        <f t="shared" si="22"/>
        <v>15.225</v>
      </c>
      <c r="L129" s="20">
        <f t="shared" si="23"/>
        <v>7.9</v>
      </c>
      <c r="M129" s="21">
        <f t="shared" si="24"/>
        <v>15.074999999999999</v>
      </c>
      <c r="N129" s="20">
        <f t="shared" si="25"/>
        <v>2</v>
      </c>
      <c r="O129" s="21">
        <f t="shared" si="26"/>
        <v>15.375</v>
      </c>
      <c r="P129" s="20">
        <f t="shared" si="27"/>
        <v>7.9</v>
      </c>
    </row>
    <row r="130" spans="1:16" x14ac:dyDescent="0.15">
      <c r="A130" s="4">
        <v>42517</v>
      </c>
      <c r="B130" s="16" t="s">
        <v>10</v>
      </c>
      <c r="C130" s="19">
        <v>14.2</v>
      </c>
      <c r="D130" s="19">
        <v>16</v>
      </c>
      <c r="E130" s="19">
        <v>15.4</v>
      </c>
      <c r="F130" s="19">
        <v>14.3</v>
      </c>
      <c r="G130" s="19">
        <v>15.1</v>
      </c>
      <c r="H130" s="19">
        <v>20.9</v>
      </c>
      <c r="I130" s="19">
        <v>19.8</v>
      </c>
      <c r="J130" s="19">
        <v>12.5</v>
      </c>
      <c r="K130" s="21">
        <f t="shared" si="22"/>
        <v>16.024999999999999</v>
      </c>
      <c r="L130" s="20">
        <f t="shared" si="23"/>
        <v>8.3999999999999986</v>
      </c>
      <c r="M130" s="21">
        <f t="shared" si="24"/>
        <v>14.975000000000001</v>
      </c>
      <c r="N130" s="20">
        <f t="shared" si="25"/>
        <v>1.8000000000000007</v>
      </c>
      <c r="O130" s="21">
        <f t="shared" si="26"/>
        <v>17.074999999999999</v>
      </c>
      <c r="P130" s="20">
        <f t="shared" si="27"/>
        <v>8.3999999999999986</v>
      </c>
    </row>
    <row r="131" spans="1:16" x14ac:dyDescent="0.15">
      <c r="A131" s="4">
        <v>42520</v>
      </c>
      <c r="B131" s="16" t="s">
        <v>6</v>
      </c>
      <c r="C131" s="19">
        <v>13.6</v>
      </c>
      <c r="D131" s="19">
        <v>15.6</v>
      </c>
      <c r="E131" s="19">
        <v>15.6</v>
      </c>
      <c r="F131" s="19">
        <v>15.5</v>
      </c>
      <c r="G131" s="19">
        <v>16.100000000000001</v>
      </c>
      <c r="H131" s="19">
        <v>13.5</v>
      </c>
      <c r="I131" s="19">
        <v>7.8</v>
      </c>
      <c r="J131" s="19">
        <v>14.1</v>
      </c>
      <c r="K131" s="21">
        <f t="shared" si="22"/>
        <v>13.975</v>
      </c>
      <c r="L131" s="20">
        <f t="shared" si="23"/>
        <v>8.3000000000000007</v>
      </c>
      <c r="M131" s="21">
        <f t="shared" si="24"/>
        <v>15.074999999999999</v>
      </c>
      <c r="N131" s="20">
        <f t="shared" si="25"/>
        <v>2</v>
      </c>
      <c r="O131" s="21">
        <f t="shared" si="26"/>
        <v>12.875</v>
      </c>
      <c r="P131" s="20">
        <f t="shared" si="27"/>
        <v>8.3000000000000007</v>
      </c>
    </row>
    <row r="132" spans="1:16" x14ac:dyDescent="0.15">
      <c r="A132" s="4">
        <v>42521</v>
      </c>
      <c r="B132" s="16" t="s">
        <v>7</v>
      </c>
      <c r="C132" s="19">
        <v>14.4</v>
      </c>
      <c r="D132" s="19">
        <v>15.1</v>
      </c>
      <c r="E132" s="19">
        <v>13.7</v>
      </c>
      <c r="F132" s="19">
        <v>14.2</v>
      </c>
      <c r="G132" s="19">
        <v>18</v>
      </c>
      <c r="H132" s="19">
        <v>12.4</v>
      </c>
      <c r="I132" s="19">
        <v>20.100000000000001</v>
      </c>
      <c r="J132" s="19">
        <v>16.3</v>
      </c>
      <c r="K132" s="21">
        <f t="shared" si="22"/>
        <v>15.525</v>
      </c>
      <c r="L132" s="20">
        <f t="shared" si="23"/>
        <v>7.7000000000000011</v>
      </c>
      <c r="M132" s="21">
        <f t="shared" si="24"/>
        <v>14.350000000000001</v>
      </c>
      <c r="N132" s="20">
        <f t="shared" si="25"/>
        <v>1.4000000000000004</v>
      </c>
      <c r="O132" s="21">
        <f t="shared" si="26"/>
        <v>16.7</v>
      </c>
      <c r="P132" s="20">
        <f t="shared" si="27"/>
        <v>7.7000000000000011</v>
      </c>
    </row>
    <row r="133" spans="1:16" x14ac:dyDescent="0.15">
      <c r="A133" s="4">
        <v>42522</v>
      </c>
      <c r="B133" s="16" t="s">
        <v>8</v>
      </c>
      <c r="C133" s="19">
        <v>14.6</v>
      </c>
      <c r="D133" s="19">
        <v>13.9</v>
      </c>
      <c r="E133" s="19">
        <v>12.4</v>
      </c>
      <c r="F133" s="19">
        <v>15.1</v>
      </c>
      <c r="G133" s="19">
        <v>19</v>
      </c>
      <c r="H133" s="19">
        <v>13.9</v>
      </c>
      <c r="I133" s="19">
        <v>15.3</v>
      </c>
      <c r="J133" s="19">
        <v>17.899999999999999</v>
      </c>
      <c r="K133" s="21">
        <f t="shared" si="22"/>
        <v>15.262499999999999</v>
      </c>
      <c r="L133" s="20">
        <f t="shared" si="23"/>
        <v>6.6</v>
      </c>
      <c r="M133" s="21">
        <f t="shared" si="24"/>
        <v>14</v>
      </c>
      <c r="N133" s="20">
        <f t="shared" si="25"/>
        <v>2.6999999999999993</v>
      </c>
      <c r="O133" s="21">
        <f t="shared" si="26"/>
        <v>16.524999999999999</v>
      </c>
      <c r="P133" s="20">
        <f t="shared" si="27"/>
        <v>5.0999999999999996</v>
      </c>
    </row>
    <row r="134" spans="1:16" x14ac:dyDescent="0.15">
      <c r="A134" s="4">
        <v>42523</v>
      </c>
      <c r="B134" s="16" t="s">
        <v>9</v>
      </c>
      <c r="C134" s="19">
        <v>14.5</v>
      </c>
      <c r="D134" s="19">
        <v>14.3</v>
      </c>
      <c r="E134" s="19">
        <v>14.8</v>
      </c>
      <c r="F134" s="19">
        <v>13.5</v>
      </c>
      <c r="G134" s="19">
        <v>15.9</v>
      </c>
      <c r="H134" s="19">
        <v>16.600000000000001</v>
      </c>
      <c r="I134" s="19">
        <v>12.6</v>
      </c>
      <c r="J134" s="19">
        <v>13.2</v>
      </c>
      <c r="K134" s="21">
        <f t="shared" si="22"/>
        <v>14.424999999999999</v>
      </c>
      <c r="L134" s="20">
        <f t="shared" si="23"/>
        <v>4.0000000000000018</v>
      </c>
      <c r="M134" s="21">
        <f t="shared" si="24"/>
        <v>14.275</v>
      </c>
      <c r="N134" s="20">
        <f t="shared" si="25"/>
        <v>1.3000000000000007</v>
      </c>
      <c r="O134" s="21">
        <f t="shared" si="26"/>
        <v>14.574999999999999</v>
      </c>
      <c r="P134" s="20">
        <f t="shared" si="27"/>
        <v>4.0000000000000018</v>
      </c>
    </row>
    <row r="135" spans="1:16" x14ac:dyDescent="0.15">
      <c r="A135" s="4">
        <v>42524</v>
      </c>
      <c r="B135" s="16" t="s">
        <v>10</v>
      </c>
      <c r="C135" s="19">
        <v>13.7</v>
      </c>
      <c r="D135" s="19">
        <v>13.8</v>
      </c>
      <c r="E135" s="19">
        <v>14.4</v>
      </c>
      <c r="F135" s="19">
        <v>13.5</v>
      </c>
      <c r="G135" s="19">
        <v>14.8</v>
      </c>
      <c r="H135" s="19">
        <v>19.2</v>
      </c>
      <c r="I135" s="19">
        <v>16.600000000000001</v>
      </c>
      <c r="J135" s="19">
        <v>20.7</v>
      </c>
      <c r="K135" s="21">
        <f t="shared" si="22"/>
        <v>15.8375</v>
      </c>
      <c r="L135" s="20">
        <f t="shared" si="23"/>
        <v>7.1999999999999993</v>
      </c>
      <c r="M135" s="21">
        <f t="shared" si="24"/>
        <v>13.85</v>
      </c>
      <c r="N135" s="20">
        <f t="shared" si="25"/>
        <v>0.90000000000000036</v>
      </c>
      <c r="O135" s="21">
        <f t="shared" si="26"/>
        <v>17.824999999999999</v>
      </c>
      <c r="P135" s="20">
        <f t="shared" si="27"/>
        <v>5.8999999999999986</v>
      </c>
    </row>
    <row r="136" spans="1:16" x14ac:dyDescent="0.15">
      <c r="A136" s="4">
        <v>42527</v>
      </c>
      <c r="B136" s="16" t="s">
        <v>6</v>
      </c>
      <c r="C136" s="19">
        <v>12.4</v>
      </c>
      <c r="D136" s="19">
        <v>13.6</v>
      </c>
      <c r="E136" s="19">
        <v>14.3</v>
      </c>
      <c r="F136" s="19">
        <v>14.2</v>
      </c>
      <c r="G136" s="19">
        <v>14.9</v>
      </c>
      <c r="H136" s="19">
        <v>19</v>
      </c>
      <c r="I136" s="19">
        <v>15</v>
      </c>
      <c r="J136" s="19">
        <v>12</v>
      </c>
      <c r="K136" s="21">
        <f t="shared" si="22"/>
        <v>14.425000000000001</v>
      </c>
      <c r="L136" s="20">
        <f t="shared" si="23"/>
        <v>7</v>
      </c>
      <c r="M136" s="21">
        <f t="shared" si="24"/>
        <v>13.625</v>
      </c>
      <c r="N136" s="20">
        <f t="shared" si="25"/>
        <v>1.9000000000000004</v>
      </c>
      <c r="O136" s="21">
        <f t="shared" si="26"/>
        <v>15.225</v>
      </c>
      <c r="P136" s="20">
        <f t="shared" si="27"/>
        <v>7</v>
      </c>
    </row>
    <row r="137" spans="1:16" x14ac:dyDescent="0.15">
      <c r="A137" s="4">
        <v>42528</v>
      </c>
      <c r="B137" s="16" t="s">
        <v>7</v>
      </c>
      <c r="C137" s="19">
        <v>12.4</v>
      </c>
      <c r="D137" s="19">
        <v>13.7</v>
      </c>
      <c r="E137" s="19">
        <v>13</v>
      </c>
      <c r="F137" s="19">
        <v>13.9</v>
      </c>
      <c r="G137" s="19">
        <v>17.899999999999999</v>
      </c>
      <c r="H137" s="19">
        <v>19.8</v>
      </c>
      <c r="I137" s="19">
        <v>18.100000000000001</v>
      </c>
      <c r="J137" s="19">
        <v>7.6</v>
      </c>
      <c r="K137" s="21">
        <f t="shared" si="22"/>
        <v>14.55</v>
      </c>
      <c r="L137" s="20">
        <f t="shared" si="23"/>
        <v>12.200000000000001</v>
      </c>
      <c r="M137" s="21">
        <f t="shared" si="24"/>
        <v>13.25</v>
      </c>
      <c r="N137" s="20">
        <f t="shared" si="25"/>
        <v>1.5</v>
      </c>
      <c r="O137" s="21">
        <f t="shared" si="26"/>
        <v>15.850000000000001</v>
      </c>
      <c r="P137" s="20">
        <f t="shared" si="27"/>
        <v>12.200000000000001</v>
      </c>
    </row>
    <row r="138" spans="1:16" x14ac:dyDescent="0.15">
      <c r="A138" s="4">
        <v>42529</v>
      </c>
      <c r="B138" s="16" t="s">
        <v>8</v>
      </c>
      <c r="C138" s="19">
        <v>13.5</v>
      </c>
      <c r="D138" s="19">
        <v>13.8</v>
      </c>
      <c r="E138" s="19">
        <v>15.1</v>
      </c>
      <c r="F138" s="19">
        <v>12</v>
      </c>
      <c r="G138" s="19">
        <v>12.6</v>
      </c>
      <c r="H138" s="19">
        <v>14.7</v>
      </c>
      <c r="I138" s="19">
        <v>12.5</v>
      </c>
      <c r="J138" s="19">
        <v>9.1999999999999993</v>
      </c>
      <c r="K138" s="21">
        <f t="shared" si="22"/>
        <v>12.925000000000001</v>
      </c>
      <c r="L138" s="20">
        <f t="shared" si="23"/>
        <v>5.9</v>
      </c>
      <c r="M138" s="21">
        <f t="shared" si="24"/>
        <v>13.6</v>
      </c>
      <c r="N138" s="20">
        <f t="shared" si="25"/>
        <v>3.0999999999999996</v>
      </c>
      <c r="O138" s="21">
        <f t="shared" si="26"/>
        <v>12.25</v>
      </c>
      <c r="P138" s="20">
        <f t="shared" si="27"/>
        <v>5.5</v>
      </c>
    </row>
    <row r="139" spans="1:16" x14ac:dyDescent="0.15">
      <c r="A139" s="4">
        <v>42530</v>
      </c>
      <c r="B139" s="16" t="s">
        <v>9</v>
      </c>
      <c r="C139" s="19">
        <v>14.8</v>
      </c>
      <c r="D139" s="19">
        <v>11.8</v>
      </c>
      <c r="E139" s="19">
        <v>11.7</v>
      </c>
      <c r="F139" s="19">
        <v>14</v>
      </c>
      <c r="G139" s="19">
        <v>15.6</v>
      </c>
      <c r="H139" s="19">
        <v>9.1</v>
      </c>
      <c r="I139" s="19">
        <v>19.399999999999999</v>
      </c>
      <c r="J139" s="19">
        <v>13.2</v>
      </c>
      <c r="K139" s="21">
        <f t="shared" si="22"/>
        <v>13.699999999999998</v>
      </c>
      <c r="L139" s="20">
        <f t="shared" si="23"/>
        <v>10.299999999999999</v>
      </c>
      <c r="M139" s="21">
        <f t="shared" si="24"/>
        <v>13.074999999999999</v>
      </c>
      <c r="N139" s="20">
        <f>MAX(C139:F139)-MIN(C139:F139)</f>
        <v>3.1000000000000014</v>
      </c>
      <c r="O139" s="21">
        <f t="shared" si="26"/>
        <v>14.324999999999999</v>
      </c>
      <c r="P139" s="20">
        <f>MAX(G139:J139)-MIN(G139:J139)</f>
        <v>10.299999999999999</v>
      </c>
    </row>
    <row r="140" spans="1:16" x14ac:dyDescent="0.15">
      <c r="A140" s="4">
        <v>42531</v>
      </c>
      <c r="B140" s="16" t="s">
        <v>10</v>
      </c>
      <c r="C140" s="19">
        <v>12.6</v>
      </c>
      <c r="D140" s="19">
        <v>12.2</v>
      </c>
      <c r="E140" s="19">
        <v>12.8</v>
      </c>
      <c r="F140" s="19">
        <v>14.2</v>
      </c>
      <c r="G140" s="19">
        <v>14.9</v>
      </c>
      <c r="H140" s="19">
        <v>15.4</v>
      </c>
      <c r="I140" s="19">
        <v>15.7</v>
      </c>
      <c r="J140" s="19">
        <v>16.899999999999999</v>
      </c>
      <c r="K140" s="21">
        <f t="shared" si="22"/>
        <v>14.337500000000002</v>
      </c>
      <c r="L140" s="20">
        <f t="shared" si="23"/>
        <v>4.6999999999999993</v>
      </c>
      <c r="M140" s="21">
        <f>AVERAGE(C140:F140)</f>
        <v>12.95</v>
      </c>
      <c r="N140" s="20">
        <f>MAX(C140:F140)-MIN(C140:F140)</f>
        <v>2</v>
      </c>
      <c r="O140" s="21">
        <f>AVERAGE(G140:J140)</f>
        <v>15.725</v>
      </c>
      <c r="P140" s="20">
        <f>MAX(G140:J140)-MIN(G140:J140)</f>
        <v>1.9999999999999982</v>
      </c>
    </row>
    <row r="141" spans="1:16" x14ac:dyDescent="0.15">
      <c r="J141" s="6" t="s">
        <v>55</v>
      </c>
      <c r="K141" s="18">
        <f t="shared" ref="K141:P141" si="28">SUM(K116:K140)</f>
        <v>381.9375</v>
      </c>
      <c r="L141" s="19">
        <f t="shared" si="28"/>
        <v>159.60000000000002</v>
      </c>
      <c r="M141" s="18">
        <f t="shared" si="28"/>
        <v>378.32499999999999</v>
      </c>
      <c r="N141" s="19">
        <f t="shared" si="28"/>
        <v>49.7</v>
      </c>
      <c r="O141" s="18">
        <f t="shared" si="28"/>
        <v>385.55</v>
      </c>
      <c r="P141" s="19">
        <f t="shared" si="28"/>
        <v>149</v>
      </c>
    </row>
    <row r="142" spans="1:16" x14ac:dyDescent="0.15">
      <c r="J142" s="6" t="s">
        <v>56</v>
      </c>
      <c r="K142" s="28">
        <f t="shared" ref="K142:P142" si="29">K141/25</f>
        <v>15.2775</v>
      </c>
      <c r="L142" s="25">
        <f t="shared" si="29"/>
        <v>6.3840000000000012</v>
      </c>
      <c r="M142" s="28">
        <f t="shared" si="29"/>
        <v>15.132999999999999</v>
      </c>
      <c r="N142" s="25">
        <f t="shared" si="29"/>
        <v>1.9880000000000002</v>
      </c>
      <c r="O142" s="28">
        <f t="shared" si="29"/>
        <v>15.422000000000001</v>
      </c>
      <c r="P142" s="25">
        <f t="shared" si="29"/>
        <v>5.96</v>
      </c>
    </row>
    <row r="144" spans="1:16" x14ac:dyDescent="0.15">
      <c r="J144" s="6" t="s">
        <v>52</v>
      </c>
      <c r="K144" s="23">
        <f>K142</f>
        <v>15.2775</v>
      </c>
      <c r="L144" s="24">
        <f>L142</f>
        <v>6.3840000000000012</v>
      </c>
      <c r="M144" s="23">
        <f t="shared" ref="M144:O144" si="30">M142</f>
        <v>15.132999999999999</v>
      </c>
      <c r="N144" s="24">
        <f t="shared" si="30"/>
        <v>1.9880000000000002</v>
      </c>
      <c r="O144" s="23">
        <f t="shared" si="30"/>
        <v>15.422000000000001</v>
      </c>
      <c r="P144" s="24">
        <f>P142</f>
        <v>5.96</v>
      </c>
    </row>
    <row r="145" spans="8:63" x14ac:dyDescent="0.15">
      <c r="J145" s="6" t="s">
        <v>53</v>
      </c>
      <c r="K145" s="23">
        <f>K144+0.373*L144</f>
        <v>17.658732000000001</v>
      </c>
      <c r="L145" s="24">
        <f>1.864*L144</f>
        <v>11.899776000000003</v>
      </c>
      <c r="M145" s="23">
        <f>M144+0.729*N144</f>
        <v>16.582252</v>
      </c>
      <c r="N145" s="24">
        <f>2.28*N144</f>
        <v>4.5326399999999998</v>
      </c>
      <c r="O145" s="23">
        <f>O144+0.729*P144</f>
        <v>19.766840000000002</v>
      </c>
      <c r="P145" s="24">
        <f>2.28*P144</f>
        <v>13.588799999999999</v>
      </c>
    </row>
    <row r="146" spans="8:63" x14ac:dyDescent="0.15">
      <c r="J146" s="6" t="s">
        <v>54</v>
      </c>
      <c r="K146" s="23">
        <f>K144-0.373*L144</f>
        <v>12.896267999999999</v>
      </c>
      <c r="L146" s="24">
        <f>0.136*L144</f>
        <v>0.86822400000000022</v>
      </c>
      <c r="M146" s="23">
        <f>M144-0.729*N144</f>
        <v>13.683748</v>
      </c>
      <c r="N146" s="6">
        <v>0</v>
      </c>
      <c r="O146" s="23">
        <f>O144-0.729*P144</f>
        <v>11.077160000000001</v>
      </c>
      <c r="P146" s="6">
        <v>0</v>
      </c>
    </row>
    <row r="147" spans="8:63" x14ac:dyDescent="0.15">
      <c r="H147" s="11" t="s">
        <v>71</v>
      </c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AA147" s="30" t="s">
        <v>69</v>
      </c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T147" s="30" t="s">
        <v>75</v>
      </c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</row>
    <row r="148" spans="8:63" x14ac:dyDescent="0.15">
      <c r="I148" t="s">
        <v>57</v>
      </c>
      <c r="J148" t="s">
        <v>58</v>
      </c>
      <c r="K148" t="s">
        <v>53</v>
      </c>
      <c r="L148" t="s">
        <v>54</v>
      </c>
      <c r="M148" s="27" t="s">
        <v>60</v>
      </c>
      <c r="N148" s="27" t="s">
        <v>61</v>
      </c>
      <c r="O148" s="27" t="s">
        <v>62</v>
      </c>
      <c r="P148" s="27" t="s">
        <v>63</v>
      </c>
      <c r="R148" t="s">
        <v>59</v>
      </c>
      <c r="S148" t="s">
        <v>58</v>
      </c>
      <c r="T148" t="s">
        <v>53</v>
      </c>
      <c r="U148" t="s">
        <v>54</v>
      </c>
      <c r="V148" s="27" t="s">
        <v>60</v>
      </c>
      <c r="W148" s="27" t="s">
        <v>61</v>
      </c>
      <c r="X148" s="27" t="s">
        <v>62</v>
      </c>
      <c r="Y148" s="27" t="s">
        <v>63</v>
      </c>
      <c r="AB148" t="s">
        <v>57</v>
      </c>
      <c r="AC148" t="s">
        <v>52</v>
      </c>
      <c r="AD148" t="s">
        <v>53</v>
      </c>
      <c r="AE148" t="s">
        <v>54</v>
      </c>
      <c r="AF148" s="27" t="s">
        <v>60</v>
      </c>
      <c r="AG148" s="27" t="s">
        <v>61</v>
      </c>
      <c r="AH148" s="27" t="s">
        <v>62</v>
      </c>
      <c r="AI148" s="27" t="s">
        <v>63</v>
      </c>
      <c r="AK148" t="s">
        <v>59</v>
      </c>
      <c r="AL148" t="s">
        <v>52</v>
      </c>
      <c r="AM148" t="s">
        <v>53</v>
      </c>
      <c r="AN148" t="s">
        <v>54</v>
      </c>
      <c r="AO148" s="27" t="s">
        <v>60</v>
      </c>
      <c r="AP148" s="27" t="s">
        <v>61</v>
      </c>
      <c r="AQ148" s="27" t="s">
        <v>62</v>
      </c>
      <c r="AR148" s="27" t="s">
        <v>63</v>
      </c>
      <c r="AU148" t="s">
        <v>57</v>
      </c>
      <c r="AV148" t="s">
        <v>52</v>
      </c>
      <c r="AW148" t="s">
        <v>53</v>
      </c>
      <c r="AX148" t="s">
        <v>54</v>
      </c>
      <c r="AY148" s="27" t="s">
        <v>60</v>
      </c>
      <c r="AZ148" s="27" t="s">
        <v>61</v>
      </c>
      <c r="BA148" s="27" t="s">
        <v>62</v>
      </c>
      <c r="BB148" s="27" t="s">
        <v>63</v>
      </c>
      <c r="BD148" t="s">
        <v>59</v>
      </c>
      <c r="BE148" t="s">
        <v>52</v>
      </c>
      <c r="BF148" t="s">
        <v>53</v>
      </c>
      <c r="BG148" t="s">
        <v>54</v>
      </c>
      <c r="BH148" s="27" t="s">
        <v>60</v>
      </c>
      <c r="BI148" s="27" t="s">
        <v>61</v>
      </c>
      <c r="BJ148" s="27" t="s">
        <v>62</v>
      </c>
      <c r="BK148" s="27" t="s">
        <v>63</v>
      </c>
    </row>
    <row r="149" spans="8:63" x14ac:dyDescent="0.15">
      <c r="H149" s="26">
        <v>42499</v>
      </c>
      <c r="I149">
        <v>17.4375</v>
      </c>
      <c r="J149" s="22">
        <f>K144</f>
        <v>15.2775</v>
      </c>
      <c r="K149" s="22">
        <f>K145</f>
        <v>17.658732000000001</v>
      </c>
      <c r="L149" s="22">
        <f>K146</f>
        <v>12.896267999999999</v>
      </c>
      <c r="M149">
        <f>$K$144+2/3*0.373*$L$144</f>
        <v>16.864988</v>
      </c>
      <c r="N149">
        <f>$K$144+1/3*0.373*$L$144</f>
        <v>16.071244</v>
      </c>
      <c r="O149">
        <f>$K$144-1/3*0.373*$L$144</f>
        <v>14.483756</v>
      </c>
      <c r="P149">
        <f>$K$144-2/3*0.373*$L$144</f>
        <v>13.690011999999999</v>
      </c>
      <c r="R149">
        <v>6.3000000000000007</v>
      </c>
      <c r="S149" s="14">
        <f>L144</f>
        <v>6.3840000000000012</v>
      </c>
      <c r="T149" s="14">
        <f>L145</f>
        <v>11.899776000000003</v>
      </c>
      <c r="U149" s="14">
        <f>L146</f>
        <v>0.86822400000000022</v>
      </c>
      <c r="V149">
        <f>S149+2/3*(T149-S149)</f>
        <v>10.061184000000003</v>
      </c>
      <c r="W149">
        <f>S149+1/3*(T149-S149)</f>
        <v>8.2225920000000023</v>
      </c>
      <c r="X149">
        <f>S149-1/3*(-U149+S149)</f>
        <v>4.545408000000001</v>
      </c>
      <c r="Y149">
        <f>S149-2/3*(-U149+S149)</f>
        <v>2.7068160000000008</v>
      </c>
      <c r="AA149" s="26">
        <v>42499</v>
      </c>
      <c r="AB149" s="14">
        <v>17.55</v>
      </c>
      <c r="AC149" s="22">
        <f>M144</f>
        <v>15.132999999999999</v>
      </c>
      <c r="AD149" s="22">
        <f>M145</f>
        <v>16.582252</v>
      </c>
      <c r="AE149" s="22">
        <f>M146</f>
        <v>13.683748</v>
      </c>
      <c r="AF149">
        <f>$M$144+2/3*0.729*$N$144</f>
        <v>16.099167999999999</v>
      </c>
      <c r="AG149">
        <f>$M$144+1/3*0.729*$N$144</f>
        <v>15.616083999999999</v>
      </c>
      <c r="AH149">
        <f>$M$144-1/3*0.729*$N$144</f>
        <v>14.649915999999999</v>
      </c>
      <c r="AI149">
        <f>$M$144-2/3*0.729*$N$144</f>
        <v>14.166831999999999</v>
      </c>
      <c r="AK149">
        <v>0.89999999999999858</v>
      </c>
      <c r="AL149" s="14">
        <f>N144</f>
        <v>1.9880000000000002</v>
      </c>
      <c r="AM149" s="14">
        <f>N145</f>
        <v>4.5326399999999998</v>
      </c>
      <c r="AN149" s="14">
        <f>N146</f>
        <v>0</v>
      </c>
      <c r="AO149">
        <f>AL149+2/3*(AM149-AL149)</f>
        <v>3.6844266666666661</v>
      </c>
      <c r="AP149">
        <f>AL149+1/3*(AM149-AL149)</f>
        <v>2.8362133333333333</v>
      </c>
      <c r="AQ149">
        <f>AL149-1/3*(-AN149+AL149)</f>
        <v>1.3253333333333335</v>
      </c>
      <c r="AR149">
        <f>AL149-2/3*(-AN149+AL149)</f>
        <v>0.66266666666666674</v>
      </c>
      <c r="AT149" s="26">
        <v>42499</v>
      </c>
      <c r="AU149" s="14">
        <v>17.324999999999999</v>
      </c>
      <c r="AV149" s="22">
        <f>O144</f>
        <v>15.422000000000001</v>
      </c>
      <c r="AW149" s="22">
        <f>O145</f>
        <v>19.766840000000002</v>
      </c>
      <c r="AX149" s="22">
        <f>O146</f>
        <v>11.077160000000001</v>
      </c>
      <c r="AY149">
        <f>$O$144+2/3*0.729*$P$144</f>
        <v>18.318560000000002</v>
      </c>
      <c r="AZ149">
        <f>$O$144+1/3*0.729*$P$144</f>
        <v>16.870280000000001</v>
      </c>
      <c r="BA149">
        <f>$O$144-1/3*0.729*$P$144</f>
        <v>13.97372</v>
      </c>
      <c r="BB149">
        <f>$O$144-2/3*0.729*$P$144</f>
        <v>12.52544</v>
      </c>
      <c r="BD149" s="2">
        <v>6.3000000000000007</v>
      </c>
      <c r="BE149" s="14">
        <f>P144</f>
        <v>5.96</v>
      </c>
      <c r="BF149" s="14">
        <f>P145</f>
        <v>13.588799999999999</v>
      </c>
      <c r="BG149" s="14">
        <f>P146</f>
        <v>0</v>
      </c>
      <c r="BH149">
        <f>BE149+2/3*(BF149-BE149)</f>
        <v>11.045866666666665</v>
      </c>
      <c r="BI149">
        <f>BE149+1/3*(BF149-BE149)</f>
        <v>8.502933333333333</v>
      </c>
      <c r="BJ149">
        <f>BE149-1/3*(-BG149+BE149)</f>
        <v>3.9733333333333336</v>
      </c>
      <c r="BK149">
        <f>BE149-2/3*(-BG149+BE149)</f>
        <v>1.9866666666666668</v>
      </c>
    </row>
    <row r="150" spans="8:63" x14ac:dyDescent="0.15">
      <c r="H150" s="26">
        <v>42500</v>
      </c>
      <c r="I150">
        <v>15.637499999999999</v>
      </c>
      <c r="J150" s="22">
        <f>J149</f>
        <v>15.2775</v>
      </c>
      <c r="K150" s="22">
        <f t="shared" ref="K150:L150" si="31">K149</f>
        <v>17.658732000000001</v>
      </c>
      <c r="L150" s="22">
        <f t="shared" si="31"/>
        <v>12.896267999999999</v>
      </c>
      <c r="M150">
        <f t="shared" ref="M150:M173" si="32">$K$144+2/3*0.373*$L$144</f>
        <v>16.864988</v>
      </c>
      <c r="N150">
        <f t="shared" ref="N150:N173" si="33">$K$144+1/3*0.373*$L$144</f>
        <v>16.071244</v>
      </c>
      <c r="O150">
        <f t="shared" ref="O150:O173" si="34">$K$144-1/3*0.373*$L$144</f>
        <v>14.483756</v>
      </c>
      <c r="P150">
        <f t="shared" ref="P150:P173" si="35">$K$144-2/3*0.373*$L$144</f>
        <v>13.690011999999999</v>
      </c>
      <c r="R150">
        <v>3.5000000000000018</v>
      </c>
      <c r="S150" s="14">
        <f>S149</f>
        <v>6.3840000000000012</v>
      </c>
      <c r="T150" s="14">
        <f t="shared" ref="T150:U150" si="36">T149</f>
        <v>11.899776000000003</v>
      </c>
      <c r="U150" s="14">
        <f t="shared" si="36"/>
        <v>0.86822400000000022</v>
      </c>
      <c r="V150">
        <f t="shared" ref="V150:V173" si="37">S150+2/3*(T150-S150)</f>
        <v>10.061184000000003</v>
      </c>
      <c r="W150">
        <f t="shared" ref="W150:W173" si="38">S150+1/3*(T150-S150)</f>
        <v>8.2225920000000023</v>
      </c>
      <c r="X150">
        <f t="shared" ref="X150:X173" si="39">S150-1/3*(-U150+S150)</f>
        <v>4.545408000000001</v>
      </c>
      <c r="Y150">
        <f t="shared" ref="Y150:Y173" si="40">S150-2/3*(-U150+S150)</f>
        <v>2.7068160000000008</v>
      </c>
      <c r="AA150" s="26">
        <v>42500</v>
      </c>
      <c r="AB150" s="14">
        <v>16.55</v>
      </c>
      <c r="AC150" s="22">
        <f>AC149</f>
        <v>15.132999999999999</v>
      </c>
      <c r="AD150" s="22">
        <f>AD149</f>
        <v>16.582252</v>
      </c>
      <c r="AE150" s="22">
        <f t="shared" ref="AD150:AE165" si="41">AE149</f>
        <v>13.683748</v>
      </c>
      <c r="AF150">
        <f t="shared" ref="AF150:AF173" si="42">$M$144+2/3*0.729*$N$144</f>
        <v>16.099167999999999</v>
      </c>
      <c r="AG150">
        <f t="shared" ref="AG150:AG173" si="43">$M$144+1/3*0.729*$N$144</f>
        <v>15.616083999999999</v>
      </c>
      <c r="AH150">
        <f t="shared" ref="AH150:AH173" si="44">$M$144-1/3*0.729*$N$144</f>
        <v>14.649915999999999</v>
      </c>
      <c r="AI150">
        <f t="shared" ref="AI150:AI173" si="45">$M$144-2/3*0.729*$N$144</f>
        <v>14.166831999999999</v>
      </c>
      <c r="AK150">
        <v>1.4000000000000021</v>
      </c>
      <c r="AL150" s="14">
        <f>AL149</f>
        <v>1.9880000000000002</v>
      </c>
      <c r="AM150" s="14">
        <f t="shared" ref="AM150:AN165" si="46">AM149</f>
        <v>4.5326399999999998</v>
      </c>
      <c r="AN150" s="14">
        <f t="shared" si="46"/>
        <v>0</v>
      </c>
      <c r="AO150">
        <f t="shared" ref="AO150:AO173" si="47">AL150+2/3*(AM150-AL150)</f>
        <v>3.6844266666666661</v>
      </c>
      <c r="AP150">
        <f t="shared" ref="AP150:AP173" si="48">AL150+1/3*(AM150-AL150)</f>
        <v>2.8362133333333333</v>
      </c>
      <c r="AQ150">
        <f t="shared" ref="AQ150:AQ151" si="49">AL150-1/3*(-AN150+AL150)</f>
        <v>1.3253333333333335</v>
      </c>
      <c r="AR150">
        <f t="shared" ref="AR150:AR173" si="50">AL150-2/3*(-AN150+AL150)</f>
        <v>0.66266666666666674</v>
      </c>
      <c r="AT150" s="26">
        <v>42500</v>
      </c>
      <c r="AU150" s="14">
        <v>14.725000000000001</v>
      </c>
      <c r="AV150" s="22">
        <f>AV149</f>
        <v>15.422000000000001</v>
      </c>
      <c r="AW150" s="22">
        <f>AW149</f>
        <v>19.766840000000002</v>
      </c>
      <c r="AX150" s="22">
        <f t="shared" ref="AX150" si="51">AX149</f>
        <v>11.077160000000001</v>
      </c>
      <c r="AY150">
        <f t="shared" ref="AY150:AY173" si="52">$O$144+2/3*0.729*$P$144</f>
        <v>18.318560000000002</v>
      </c>
      <c r="AZ150">
        <f t="shared" ref="AZ150:AZ173" si="53">$O$144+1/3*0.729*$P$144</f>
        <v>16.870280000000001</v>
      </c>
      <c r="BA150">
        <f t="shared" ref="BA150:BA173" si="54">$O$144-1/3*0.729*$P$144</f>
        <v>13.97372</v>
      </c>
      <c r="BB150">
        <f t="shared" ref="BB150:BB173" si="55">$O$144-2/3*0.729*$P$144</f>
        <v>12.52544</v>
      </c>
      <c r="BD150" s="2">
        <v>2.9000000000000004</v>
      </c>
      <c r="BE150" s="14">
        <f>BE149</f>
        <v>5.96</v>
      </c>
      <c r="BF150" s="14">
        <f t="shared" ref="BF150:BG150" si="56">BF149</f>
        <v>13.588799999999999</v>
      </c>
      <c r="BG150" s="14">
        <f t="shared" si="56"/>
        <v>0</v>
      </c>
      <c r="BH150">
        <f t="shared" ref="BH150:BH173" si="57">BE150+2/3*(BF150-BE150)</f>
        <v>11.045866666666665</v>
      </c>
      <c r="BI150">
        <f t="shared" ref="BI150:BI173" si="58">BE150+1/3*(BF150-BE150)</f>
        <v>8.502933333333333</v>
      </c>
      <c r="BJ150">
        <f t="shared" ref="BJ150:BJ151" si="59">BE150-1/3*(-BG150+BE150)</f>
        <v>3.9733333333333336</v>
      </c>
      <c r="BK150">
        <f t="shared" ref="BK150:BK173" si="60">BE150-2/3*(-BG150+BE150)</f>
        <v>1.9866666666666668</v>
      </c>
    </row>
    <row r="151" spans="8:63" x14ac:dyDescent="0.15">
      <c r="H151" s="26">
        <v>42501</v>
      </c>
      <c r="I151">
        <v>15.875</v>
      </c>
      <c r="J151" s="22">
        <f t="shared" ref="J151:J173" si="61">J150</f>
        <v>15.2775</v>
      </c>
      <c r="K151" s="22">
        <f t="shared" ref="K151:K173" si="62">K150</f>
        <v>17.658732000000001</v>
      </c>
      <c r="L151" s="22">
        <f t="shared" ref="L151:L173" si="63">L150</f>
        <v>12.896267999999999</v>
      </c>
      <c r="M151">
        <f t="shared" si="32"/>
        <v>16.864988</v>
      </c>
      <c r="N151">
        <f t="shared" si="33"/>
        <v>16.071244</v>
      </c>
      <c r="O151">
        <f t="shared" si="34"/>
        <v>14.483756</v>
      </c>
      <c r="P151">
        <f t="shared" si="35"/>
        <v>13.690011999999999</v>
      </c>
      <c r="R151">
        <v>6.2000000000000011</v>
      </c>
      <c r="S151" s="14">
        <f t="shared" ref="S151:S173" si="64">S150</f>
        <v>6.3840000000000012</v>
      </c>
      <c r="T151" s="14">
        <f t="shared" ref="T151:T173" si="65">T150</f>
        <v>11.899776000000003</v>
      </c>
      <c r="U151" s="14">
        <f t="shared" ref="U151:U173" si="66">U150</f>
        <v>0.86822400000000022</v>
      </c>
      <c r="V151">
        <f t="shared" si="37"/>
        <v>10.061184000000003</v>
      </c>
      <c r="W151">
        <f t="shared" si="38"/>
        <v>8.2225920000000023</v>
      </c>
      <c r="X151">
        <f t="shared" si="39"/>
        <v>4.545408000000001</v>
      </c>
      <c r="Y151">
        <f t="shared" si="40"/>
        <v>2.7068160000000008</v>
      </c>
      <c r="AA151" s="26">
        <v>42501</v>
      </c>
      <c r="AB151" s="14">
        <v>16.925000000000001</v>
      </c>
      <c r="AC151" s="22">
        <f t="shared" ref="AC151:AE166" si="67">AC150</f>
        <v>15.132999999999999</v>
      </c>
      <c r="AD151" s="22">
        <f t="shared" si="41"/>
        <v>16.582252</v>
      </c>
      <c r="AE151" s="22">
        <f t="shared" si="41"/>
        <v>13.683748</v>
      </c>
      <c r="AF151">
        <f t="shared" si="42"/>
        <v>16.099167999999999</v>
      </c>
      <c r="AG151">
        <f t="shared" si="43"/>
        <v>15.616083999999999</v>
      </c>
      <c r="AH151">
        <f t="shared" si="44"/>
        <v>14.649915999999999</v>
      </c>
      <c r="AI151">
        <f t="shared" si="45"/>
        <v>14.166831999999999</v>
      </c>
      <c r="AK151">
        <v>3.7999999999999989</v>
      </c>
      <c r="AL151" s="14">
        <f t="shared" ref="AL151:AN166" si="68">AL150</f>
        <v>1.9880000000000002</v>
      </c>
      <c r="AM151" s="14">
        <f t="shared" si="46"/>
        <v>4.5326399999999998</v>
      </c>
      <c r="AN151" s="14">
        <f t="shared" si="46"/>
        <v>0</v>
      </c>
      <c r="AO151">
        <f t="shared" si="47"/>
        <v>3.6844266666666661</v>
      </c>
      <c r="AP151">
        <f t="shared" si="48"/>
        <v>2.8362133333333333</v>
      </c>
      <c r="AQ151">
        <f t="shared" si="49"/>
        <v>1.3253333333333335</v>
      </c>
      <c r="AR151">
        <f t="shared" si="50"/>
        <v>0.66266666666666674</v>
      </c>
      <c r="AT151" s="26">
        <v>42501</v>
      </c>
      <c r="AU151" s="14">
        <v>14.825000000000001</v>
      </c>
      <c r="AV151" s="22">
        <f t="shared" ref="AV151:AX151" si="69">AV150</f>
        <v>15.422000000000001</v>
      </c>
      <c r="AW151" s="22">
        <f t="shared" si="69"/>
        <v>19.766840000000002</v>
      </c>
      <c r="AX151" s="22">
        <f t="shared" si="69"/>
        <v>11.077160000000001</v>
      </c>
      <c r="AY151">
        <f t="shared" si="52"/>
        <v>18.318560000000002</v>
      </c>
      <c r="AZ151">
        <f t="shared" si="53"/>
        <v>16.870280000000001</v>
      </c>
      <c r="BA151">
        <f t="shared" si="54"/>
        <v>13.97372</v>
      </c>
      <c r="BB151">
        <f t="shared" si="55"/>
        <v>12.52544</v>
      </c>
      <c r="BD151" s="2">
        <v>6.2000000000000011</v>
      </c>
      <c r="BE151" s="14">
        <f t="shared" ref="BE151:BG151" si="70">BE150</f>
        <v>5.96</v>
      </c>
      <c r="BF151" s="14">
        <f t="shared" si="70"/>
        <v>13.588799999999999</v>
      </c>
      <c r="BG151" s="14">
        <f t="shared" si="70"/>
        <v>0</v>
      </c>
      <c r="BH151">
        <f t="shared" si="57"/>
        <v>11.045866666666665</v>
      </c>
      <c r="BI151">
        <f t="shared" si="58"/>
        <v>8.502933333333333</v>
      </c>
      <c r="BJ151">
        <f t="shared" si="59"/>
        <v>3.9733333333333336</v>
      </c>
      <c r="BK151">
        <f t="shared" si="60"/>
        <v>1.9866666666666668</v>
      </c>
    </row>
    <row r="152" spans="8:63" x14ac:dyDescent="0.15">
      <c r="H152" s="26">
        <v>42502</v>
      </c>
      <c r="I152">
        <v>17.175000000000001</v>
      </c>
      <c r="J152" s="22">
        <f t="shared" si="61"/>
        <v>15.2775</v>
      </c>
      <c r="K152" s="22">
        <f t="shared" si="62"/>
        <v>17.658732000000001</v>
      </c>
      <c r="L152" s="22">
        <f t="shared" si="63"/>
        <v>12.896267999999999</v>
      </c>
      <c r="M152">
        <f t="shared" si="32"/>
        <v>16.864988</v>
      </c>
      <c r="N152">
        <f t="shared" si="33"/>
        <v>16.071244</v>
      </c>
      <c r="O152">
        <f t="shared" si="34"/>
        <v>14.483756</v>
      </c>
      <c r="P152">
        <f t="shared" si="35"/>
        <v>13.690011999999999</v>
      </c>
      <c r="R152">
        <v>3.8000000000000007</v>
      </c>
      <c r="S152" s="14">
        <f t="shared" si="64"/>
        <v>6.3840000000000012</v>
      </c>
      <c r="T152" s="14">
        <f t="shared" si="65"/>
        <v>11.899776000000003</v>
      </c>
      <c r="U152" s="14">
        <f t="shared" si="66"/>
        <v>0.86822400000000022</v>
      </c>
      <c r="V152">
        <f t="shared" si="37"/>
        <v>10.061184000000003</v>
      </c>
      <c r="W152">
        <f t="shared" si="38"/>
        <v>8.2225920000000023</v>
      </c>
      <c r="X152">
        <f>S152-1/3*(-U152+S152)</f>
        <v>4.545408000000001</v>
      </c>
      <c r="Y152">
        <f t="shared" si="40"/>
        <v>2.7068160000000008</v>
      </c>
      <c r="AA152" s="26">
        <v>42502</v>
      </c>
      <c r="AB152" s="14">
        <v>16.324999999999999</v>
      </c>
      <c r="AC152" s="22">
        <f t="shared" si="67"/>
        <v>15.132999999999999</v>
      </c>
      <c r="AD152" s="22">
        <f t="shared" si="41"/>
        <v>16.582252</v>
      </c>
      <c r="AE152" s="22">
        <f t="shared" si="41"/>
        <v>13.683748</v>
      </c>
      <c r="AF152">
        <f t="shared" si="42"/>
        <v>16.099167999999999</v>
      </c>
      <c r="AG152">
        <f t="shared" si="43"/>
        <v>15.616083999999999</v>
      </c>
      <c r="AH152">
        <f t="shared" si="44"/>
        <v>14.649915999999999</v>
      </c>
      <c r="AI152">
        <f t="shared" si="45"/>
        <v>14.166831999999999</v>
      </c>
      <c r="AK152">
        <v>2.8000000000000007</v>
      </c>
      <c r="AL152" s="14">
        <f t="shared" si="68"/>
        <v>1.9880000000000002</v>
      </c>
      <c r="AM152" s="14">
        <f t="shared" si="46"/>
        <v>4.5326399999999998</v>
      </c>
      <c r="AN152" s="14">
        <f t="shared" si="46"/>
        <v>0</v>
      </c>
      <c r="AO152">
        <f t="shared" si="47"/>
        <v>3.6844266666666661</v>
      </c>
      <c r="AP152">
        <f t="shared" si="48"/>
        <v>2.8362133333333333</v>
      </c>
      <c r="AQ152">
        <f>AL152-1/3*(-AN152+AL152)</f>
        <v>1.3253333333333335</v>
      </c>
      <c r="AR152">
        <f t="shared" si="50"/>
        <v>0.66266666666666674</v>
      </c>
      <c r="AT152" s="26">
        <v>42502</v>
      </c>
      <c r="AU152" s="14">
        <v>18.025000000000002</v>
      </c>
      <c r="AV152" s="22">
        <f t="shared" ref="AV152:AX152" si="71">AV151</f>
        <v>15.422000000000001</v>
      </c>
      <c r="AW152" s="22">
        <f t="shared" si="71"/>
        <v>19.766840000000002</v>
      </c>
      <c r="AX152" s="22">
        <f t="shared" si="71"/>
        <v>11.077160000000001</v>
      </c>
      <c r="AY152">
        <f t="shared" si="52"/>
        <v>18.318560000000002</v>
      </c>
      <c r="AZ152">
        <f t="shared" si="53"/>
        <v>16.870280000000001</v>
      </c>
      <c r="BA152">
        <f t="shared" si="54"/>
        <v>13.97372</v>
      </c>
      <c r="BB152">
        <f t="shared" si="55"/>
        <v>12.52544</v>
      </c>
      <c r="BD152" s="2">
        <v>1.8999999999999986</v>
      </c>
      <c r="BE152" s="14">
        <f t="shared" ref="BE152:BG152" si="72">BE151</f>
        <v>5.96</v>
      </c>
      <c r="BF152" s="14">
        <f t="shared" si="72"/>
        <v>13.588799999999999</v>
      </c>
      <c r="BG152" s="14">
        <f t="shared" si="72"/>
        <v>0</v>
      </c>
      <c r="BH152">
        <f t="shared" si="57"/>
        <v>11.045866666666665</v>
      </c>
      <c r="BI152">
        <f t="shared" si="58"/>
        <v>8.502933333333333</v>
      </c>
      <c r="BJ152">
        <f>BE152-1/3*(-BG152+BE152)</f>
        <v>3.9733333333333336</v>
      </c>
      <c r="BK152">
        <f t="shared" si="60"/>
        <v>1.9866666666666668</v>
      </c>
    </row>
    <row r="153" spans="8:63" x14ac:dyDescent="0.15">
      <c r="H153" s="26">
        <v>42503</v>
      </c>
      <c r="I153">
        <v>15.799999999999999</v>
      </c>
      <c r="J153" s="22">
        <f t="shared" si="61"/>
        <v>15.2775</v>
      </c>
      <c r="K153" s="22">
        <f t="shared" si="62"/>
        <v>17.658732000000001</v>
      </c>
      <c r="L153" s="22">
        <f t="shared" si="63"/>
        <v>12.896267999999999</v>
      </c>
      <c r="M153">
        <f t="shared" si="32"/>
        <v>16.864988</v>
      </c>
      <c r="N153">
        <f t="shared" si="33"/>
        <v>16.071244</v>
      </c>
      <c r="O153">
        <f t="shared" si="34"/>
        <v>14.483756</v>
      </c>
      <c r="P153">
        <f t="shared" si="35"/>
        <v>13.690011999999999</v>
      </c>
      <c r="R153">
        <v>4.4000000000000004</v>
      </c>
      <c r="S153" s="14">
        <f t="shared" si="64"/>
        <v>6.3840000000000012</v>
      </c>
      <c r="T153" s="14">
        <f t="shared" si="65"/>
        <v>11.899776000000003</v>
      </c>
      <c r="U153" s="14">
        <f t="shared" si="66"/>
        <v>0.86822400000000022</v>
      </c>
      <c r="V153">
        <f t="shared" si="37"/>
        <v>10.061184000000003</v>
      </c>
      <c r="W153">
        <f t="shared" si="38"/>
        <v>8.2225920000000023</v>
      </c>
      <c r="X153">
        <f t="shared" si="39"/>
        <v>4.545408000000001</v>
      </c>
      <c r="Y153">
        <f t="shared" si="40"/>
        <v>2.7068160000000008</v>
      </c>
      <c r="AA153" s="26">
        <v>42503</v>
      </c>
      <c r="AB153" s="14">
        <v>16.775000000000002</v>
      </c>
      <c r="AC153" s="22">
        <f t="shared" si="67"/>
        <v>15.132999999999999</v>
      </c>
      <c r="AD153" s="22">
        <f t="shared" si="41"/>
        <v>16.582252</v>
      </c>
      <c r="AE153" s="22">
        <f t="shared" si="41"/>
        <v>13.683748</v>
      </c>
      <c r="AF153">
        <f t="shared" si="42"/>
        <v>16.099167999999999</v>
      </c>
      <c r="AG153">
        <f t="shared" si="43"/>
        <v>15.616083999999999</v>
      </c>
      <c r="AH153">
        <f t="shared" si="44"/>
        <v>14.649915999999999</v>
      </c>
      <c r="AI153">
        <f t="shared" si="45"/>
        <v>14.166831999999999</v>
      </c>
      <c r="AK153">
        <v>1.6999999999999993</v>
      </c>
      <c r="AL153" s="14">
        <f t="shared" si="68"/>
        <v>1.9880000000000002</v>
      </c>
      <c r="AM153" s="14">
        <f t="shared" si="46"/>
        <v>4.5326399999999998</v>
      </c>
      <c r="AN153" s="14">
        <f t="shared" si="46"/>
        <v>0</v>
      </c>
      <c r="AO153">
        <f t="shared" si="47"/>
        <v>3.6844266666666661</v>
      </c>
      <c r="AP153">
        <f t="shared" si="48"/>
        <v>2.8362133333333333</v>
      </c>
      <c r="AQ153">
        <f t="shared" ref="AQ153:AQ173" si="73">AL153-1/3*(-AN153+AL153)</f>
        <v>1.3253333333333335</v>
      </c>
      <c r="AR153">
        <f t="shared" si="50"/>
        <v>0.66266666666666674</v>
      </c>
      <c r="AT153" s="26">
        <v>42503</v>
      </c>
      <c r="AU153" s="14">
        <v>14.824999999999999</v>
      </c>
      <c r="AV153" s="22">
        <f t="shared" ref="AV153:AX153" si="74">AV152</f>
        <v>15.422000000000001</v>
      </c>
      <c r="AW153" s="22">
        <f t="shared" si="74"/>
        <v>19.766840000000002</v>
      </c>
      <c r="AX153" s="22">
        <f t="shared" si="74"/>
        <v>11.077160000000001</v>
      </c>
      <c r="AY153">
        <f t="shared" si="52"/>
        <v>18.318560000000002</v>
      </c>
      <c r="AZ153">
        <f t="shared" si="53"/>
        <v>16.870280000000001</v>
      </c>
      <c r="BA153">
        <f t="shared" si="54"/>
        <v>13.97372</v>
      </c>
      <c r="BB153">
        <f t="shared" si="55"/>
        <v>12.52544</v>
      </c>
      <c r="BD153" s="2">
        <v>3.7000000000000011</v>
      </c>
      <c r="BE153" s="14">
        <f t="shared" ref="BE153:BG153" si="75">BE152</f>
        <v>5.96</v>
      </c>
      <c r="BF153" s="14">
        <f t="shared" si="75"/>
        <v>13.588799999999999</v>
      </c>
      <c r="BG153" s="14">
        <f t="shared" si="75"/>
        <v>0</v>
      </c>
      <c r="BH153">
        <f t="shared" si="57"/>
        <v>11.045866666666665</v>
      </c>
      <c r="BI153">
        <f t="shared" si="58"/>
        <v>8.502933333333333</v>
      </c>
      <c r="BJ153">
        <f t="shared" ref="BJ153:BJ173" si="76">BE153-1/3*(-BG153+BE153)</f>
        <v>3.9733333333333336</v>
      </c>
      <c r="BK153">
        <f t="shared" si="60"/>
        <v>1.9866666666666668</v>
      </c>
    </row>
    <row r="154" spans="8:63" x14ac:dyDescent="0.15">
      <c r="H154" s="26">
        <v>42506</v>
      </c>
      <c r="I154">
        <v>14.95</v>
      </c>
      <c r="J154" s="22">
        <f t="shared" si="61"/>
        <v>15.2775</v>
      </c>
      <c r="K154" s="22">
        <f t="shared" si="62"/>
        <v>17.658732000000001</v>
      </c>
      <c r="L154" s="22">
        <f t="shared" si="63"/>
        <v>12.896267999999999</v>
      </c>
      <c r="M154">
        <f t="shared" si="32"/>
        <v>16.864988</v>
      </c>
      <c r="N154">
        <f t="shared" si="33"/>
        <v>16.071244</v>
      </c>
      <c r="O154">
        <f t="shared" si="34"/>
        <v>14.483756</v>
      </c>
      <c r="P154">
        <f t="shared" si="35"/>
        <v>13.690011999999999</v>
      </c>
      <c r="R154">
        <v>6.7000000000000011</v>
      </c>
      <c r="S154" s="14">
        <f t="shared" si="64"/>
        <v>6.3840000000000012</v>
      </c>
      <c r="T154" s="14">
        <f t="shared" si="65"/>
        <v>11.899776000000003</v>
      </c>
      <c r="U154" s="14">
        <f t="shared" si="66"/>
        <v>0.86822400000000022</v>
      </c>
      <c r="V154">
        <f t="shared" si="37"/>
        <v>10.061184000000003</v>
      </c>
      <c r="W154">
        <f t="shared" si="38"/>
        <v>8.2225920000000023</v>
      </c>
      <c r="X154">
        <f t="shared" si="39"/>
        <v>4.545408000000001</v>
      </c>
      <c r="Y154">
        <f t="shared" si="40"/>
        <v>2.7068160000000008</v>
      </c>
      <c r="AA154" s="26">
        <v>42506</v>
      </c>
      <c r="AB154" s="14">
        <v>15.749999999999998</v>
      </c>
      <c r="AC154" s="22">
        <f t="shared" si="67"/>
        <v>15.132999999999999</v>
      </c>
      <c r="AD154" s="22">
        <f t="shared" si="41"/>
        <v>16.582252</v>
      </c>
      <c r="AE154" s="22">
        <f t="shared" si="41"/>
        <v>13.683748</v>
      </c>
      <c r="AF154">
        <f t="shared" si="42"/>
        <v>16.099167999999999</v>
      </c>
      <c r="AG154">
        <f t="shared" si="43"/>
        <v>15.616083999999999</v>
      </c>
      <c r="AH154">
        <f t="shared" si="44"/>
        <v>14.649915999999999</v>
      </c>
      <c r="AI154">
        <f t="shared" si="45"/>
        <v>14.166831999999999</v>
      </c>
      <c r="AK154">
        <v>2.4999999999999982</v>
      </c>
      <c r="AL154" s="14">
        <f t="shared" si="68"/>
        <v>1.9880000000000002</v>
      </c>
      <c r="AM154" s="14">
        <f t="shared" si="46"/>
        <v>4.5326399999999998</v>
      </c>
      <c r="AN154" s="14">
        <f t="shared" si="46"/>
        <v>0</v>
      </c>
      <c r="AO154">
        <f t="shared" si="47"/>
        <v>3.6844266666666661</v>
      </c>
      <c r="AP154">
        <f t="shared" si="48"/>
        <v>2.8362133333333333</v>
      </c>
      <c r="AQ154">
        <f t="shared" si="73"/>
        <v>1.3253333333333335</v>
      </c>
      <c r="AR154">
        <f t="shared" si="50"/>
        <v>0.66266666666666674</v>
      </c>
      <c r="AT154" s="26">
        <v>42506</v>
      </c>
      <c r="AU154" s="14">
        <v>14.15</v>
      </c>
      <c r="AV154" s="22">
        <f t="shared" ref="AV154:AX154" si="77">AV153</f>
        <v>15.422000000000001</v>
      </c>
      <c r="AW154" s="22">
        <f t="shared" si="77"/>
        <v>19.766840000000002</v>
      </c>
      <c r="AX154" s="22">
        <f t="shared" si="77"/>
        <v>11.077160000000001</v>
      </c>
      <c r="AY154">
        <f t="shared" si="52"/>
        <v>18.318560000000002</v>
      </c>
      <c r="AZ154">
        <f t="shared" si="53"/>
        <v>16.870280000000001</v>
      </c>
      <c r="BA154">
        <f t="shared" si="54"/>
        <v>13.97372</v>
      </c>
      <c r="BB154">
        <f t="shared" si="55"/>
        <v>12.52544</v>
      </c>
      <c r="BD154" s="2">
        <v>6.7000000000000011</v>
      </c>
      <c r="BE154" s="14">
        <f t="shared" ref="BE154:BG154" si="78">BE153</f>
        <v>5.96</v>
      </c>
      <c r="BF154" s="14">
        <f t="shared" si="78"/>
        <v>13.588799999999999</v>
      </c>
      <c r="BG154" s="14">
        <f t="shared" si="78"/>
        <v>0</v>
      </c>
      <c r="BH154">
        <f t="shared" si="57"/>
        <v>11.045866666666665</v>
      </c>
      <c r="BI154">
        <f t="shared" si="58"/>
        <v>8.502933333333333</v>
      </c>
      <c r="BJ154">
        <f t="shared" si="76"/>
        <v>3.9733333333333336</v>
      </c>
      <c r="BK154">
        <f t="shared" si="60"/>
        <v>1.9866666666666668</v>
      </c>
    </row>
    <row r="155" spans="8:63" x14ac:dyDescent="0.15">
      <c r="H155" s="26">
        <v>42507</v>
      </c>
      <c r="I155">
        <v>15.487499999999999</v>
      </c>
      <c r="J155" s="22">
        <f t="shared" si="61"/>
        <v>15.2775</v>
      </c>
      <c r="K155" s="22">
        <f t="shared" si="62"/>
        <v>17.658732000000001</v>
      </c>
      <c r="L155" s="22">
        <f t="shared" si="63"/>
        <v>12.896267999999999</v>
      </c>
      <c r="M155">
        <f t="shared" si="32"/>
        <v>16.864988</v>
      </c>
      <c r="N155">
        <f t="shared" si="33"/>
        <v>16.071244</v>
      </c>
      <c r="O155">
        <f t="shared" si="34"/>
        <v>14.483756</v>
      </c>
      <c r="P155">
        <f t="shared" si="35"/>
        <v>13.690011999999999</v>
      </c>
      <c r="R155">
        <v>6.6999999999999993</v>
      </c>
      <c r="S155" s="14">
        <f t="shared" si="64"/>
        <v>6.3840000000000012</v>
      </c>
      <c r="T155" s="14">
        <f t="shared" si="65"/>
        <v>11.899776000000003</v>
      </c>
      <c r="U155" s="14">
        <f t="shared" si="66"/>
        <v>0.86822400000000022</v>
      </c>
      <c r="V155">
        <f t="shared" si="37"/>
        <v>10.061184000000003</v>
      </c>
      <c r="W155">
        <f t="shared" si="38"/>
        <v>8.2225920000000023</v>
      </c>
      <c r="X155">
        <f t="shared" si="39"/>
        <v>4.545408000000001</v>
      </c>
      <c r="Y155">
        <f t="shared" si="40"/>
        <v>2.7068160000000008</v>
      </c>
      <c r="AA155" s="26">
        <v>42507</v>
      </c>
      <c r="AB155" s="14">
        <v>16.05</v>
      </c>
      <c r="AC155" s="22">
        <f t="shared" si="67"/>
        <v>15.132999999999999</v>
      </c>
      <c r="AD155" s="22">
        <f t="shared" si="41"/>
        <v>16.582252</v>
      </c>
      <c r="AE155" s="22">
        <f t="shared" si="41"/>
        <v>13.683748</v>
      </c>
      <c r="AF155">
        <f t="shared" si="42"/>
        <v>16.099167999999999</v>
      </c>
      <c r="AG155">
        <f t="shared" si="43"/>
        <v>15.616083999999999</v>
      </c>
      <c r="AH155">
        <f t="shared" si="44"/>
        <v>14.649915999999999</v>
      </c>
      <c r="AI155">
        <f t="shared" si="45"/>
        <v>14.166831999999999</v>
      </c>
      <c r="AK155">
        <v>2.2000000000000011</v>
      </c>
      <c r="AL155" s="14">
        <f t="shared" si="68"/>
        <v>1.9880000000000002</v>
      </c>
      <c r="AM155" s="14">
        <f t="shared" si="46"/>
        <v>4.5326399999999998</v>
      </c>
      <c r="AN155" s="14">
        <f t="shared" si="46"/>
        <v>0</v>
      </c>
      <c r="AO155">
        <f t="shared" si="47"/>
        <v>3.6844266666666661</v>
      </c>
      <c r="AP155">
        <f t="shared" si="48"/>
        <v>2.8362133333333333</v>
      </c>
      <c r="AQ155">
        <f t="shared" si="73"/>
        <v>1.3253333333333335</v>
      </c>
      <c r="AR155">
        <f t="shared" si="50"/>
        <v>0.66266666666666674</v>
      </c>
      <c r="AT155" s="26">
        <v>42507</v>
      </c>
      <c r="AU155" s="14">
        <v>14.925000000000001</v>
      </c>
      <c r="AV155" s="22">
        <f t="shared" ref="AV155:AX155" si="79">AV154</f>
        <v>15.422000000000001</v>
      </c>
      <c r="AW155" s="22">
        <f t="shared" si="79"/>
        <v>19.766840000000002</v>
      </c>
      <c r="AX155" s="22">
        <f t="shared" si="79"/>
        <v>11.077160000000001</v>
      </c>
      <c r="AY155">
        <f t="shared" si="52"/>
        <v>18.318560000000002</v>
      </c>
      <c r="AZ155">
        <f t="shared" si="53"/>
        <v>16.870280000000001</v>
      </c>
      <c r="BA155">
        <f t="shared" si="54"/>
        <v>13.97372</v>
      </c>
      <c r="BB155">
        <f t="shared" si="55"/>
        <v>12.52544</v>
      </c>
      <c r="BD155" s="2">
        <v>6.6999999999999993</v>
      </c>
      <c r="BE155" s="14">
        <f t="shared" ref="BE155:BG155" si="80">BE154</f>
        <v>5.96</v>
      </c>
      <c r="BF155" s="14">
        <f t="shared" si="80"/>
        <v>13.588799999999999</v>
      </c>
      <c r="BG155" s="14">
        <f t="shared" si="80"/>
        <v>0</v>
      </c>
      <c r="BH155">
        <f t="shared" si="57"/>
        <v>11.045866666666665</v>
      </c>
      <c r="BI155">
        <f t="shared" si="58"/>
        <v>8.502933333333333</v>
      </c>
      <c r="BJ155">
        <f t="shared" si="76"/>
        <v>3.9733333333333336</v>
      </c>
      <c r="BK155">
        <f t="shared" si="60"/>
        <v>1.9866666666666668</v>
      </c>
    </row>
    <row r="156" spans="8:63" x14ac:dyDescent="0.15">
      <c r="H156" s="26">
        <v>42508</v>
      </c>
      <c r="I156">
        <v>14.65</v>
      </c>
      <c r="J156" s="22">
        <f t="shared" si="61"/>
        <v>15.2775</v>
      </c>
      <c r="K156" s="22">
        <f t="shared" si="62"/>
        <v>17.658732000000001</v>
      </c>
      <c r="L156" s="22">
        <f t="shared" si="63"/>
        <v>12.896267999999999</v>
      </c>
      <c r="M156">
        <f t="shared" si="32"/>
        <v>16.864988</v>
      </c>
      <c r="N156">
        <f t="shared" si="33"/>
        <v>16.071244</v>
      </c>
      <c r="O156">
        <f t="shared" si="34"/>
        <v>14.483756</v>
      </c>
      <c r="P156">
        <f t="shared" si="35"/>
        <v>13.690011999999999</v>
      </c>
      <c r="R156">
        <v>4.2000000000000011</v>
      </c>
      <c r="S156" s="14">
        <f t="shared" si="64"/>
        <v>6.3840000000000012</v>
      </c>
      <c r="T156" s="14">
        <f t="shared" si="65"/>
        <v>11.899776000000003</v>
      </c>
      <c r="U156" s="14">
        <f t="shared" si="66"/>
        <v>0.86822400000000022</v>
      </c>
      <c r="V156">
        <f t="shared" si="37"/>
        <v>10.061184000000003</v>
      </c>
      <c r="W156">
        <f t="shared" si="38"/>
        <v>8.2225920000000023</v>
      </c>
      <c r="X156">
        <f t="shared" si="39"/>
        <v>4.545408000000001</v>
      </c>
      <c r="Y156">
        <f t="shared" si="40"/>
        <v>2.7068160000000008</v>
      </c>
      <c r="AA156" s="26">
        <v>42508</v>
      </c>
      <c r="AB156" s="14">
        <v>15.875</v>
      </c>
      <c r="AC156" s="22">
        <f t="shared" si="67"/>
        <v>15.132999999999999</v>
      </c>
      <c r="AD156" s="22">
        <f t="shared" si="41"/>
        <v>16.582252</v>
      </c>
      <c r="AE156" s="22">
        <f t="shared" si="41"/>
        <v>13.683748</v>
      </c>
      <c r="AF156">
        <f t="shared" si="42"/>
        <v>16.099167999999999</v>
      </c>
      <c r="AG156">
        <f t="shared" si="43"/>
        <v>15.616083999999999</v>
      </c>
      <c r="AH156">
        <f t="shared" si="44"/>
        <v>14.649915999999999</v>
      </c>
      <c r="AI156">
        <f t="shared" si="45"/>
        <v>14.166831999999999</v>
      </c>
      <c r="AK156">
        <v>1.7000000000000011</v>
      </c>
      <c r="AL156" s="14">
        <f t="shared" si="68"/>
        <v>1.9880000000000002</v>
      </c>
      <c r="AM156" s="14">
        <f t="shared" si="46"/>
        <v>4.5326399999999998</v>
      </c>
      <c r="AN156" s="14">
        <f t="shared" si="46"/>
        <v>0</v>
      </c>
      <c r="AO156">
        <f t="shared" si="47"/>
        <v>3.6844266666666661</v>
      </c>
      <c r="AP156">
        <f t="shared" si="48"/>
        <v>2.8362133333333333</v>
      </c>
      <c r="AQ156">
        <f t="shared" si="73"/>
        <v>1.3253333333333335</v>
      </c>
      <c r="AR156">
        <f t="shared" si="50"/>
        <v>0.66266666666666674</v>
      </c>
      <c r="AT156" s="26">
        <v>42508</v>
      </c>
      <c r="AU156" s="14">
        <v>13.424999999999999</v>
      </c>
      <c r="AV156" s="22">
        <f t="shared" ref="AV156:AX156" si="81">AV155</f>
        <v>15.422000000000001</v>
      </c>
      <c r="AW156" s="22">
        <f t="shared" si="81"/>
        <v>19.766840000000002</v>
      </c>
      <c r="AX156" s="22">
        <f t="shared" si="81"/>
        <v>11.077160000000001</v>
      </c>
      <c r="AY156">
        <f t="shared" si="52"/>
        <v>18.318560000000002</v>
      </c>
      <c r="AZ156">
        <f t="shared" si="53"/>
        <v>16.870280000000001</v>
      </c>
      <c r="BA156">
        <f t="shared" si="54"/>
        <v>13.97372</v>
      </c>
      <c r="BB156">
        <f t="shared" si="55"/>
        <v>12.52544</v>
      </c>
      <c r="BD156" s="2">
        <v>2.6999999999999993</v>
      </c>
      <c r="BE156" s="14">
        <f t="shared" ref="BE156:BG156" si="82">BE155</f>
        <v>5.96</v>
      </c>
      <c r="BF156" s="14">
        <f t="shared" si="82"/>
        <v>13.588799999999999</v>
      </c>
      <c r="BG156" s="14">
        <f t="shared" si="82"/>
        <v>0</v>
      </c>
      <c r="BH156">
        <f t="shared" si="57"/>
        <v>11.045866666666665</v>
      </c>
      <c r="BI156">
        <f t="shared" si="58"/>
        <v>8.502933333333333</v>
      </c>
      <c r="BJ156">
        <f t="shared" si="76"/>
        <v>3.9733333333333336</v>
      </c>
      <c r="BK156">
        <f t="shared" si="60"/>
        <v>1.9866666666666668</v>
      </c>
    </row>
    <row r="157" spans="8:63" x14ac:dyDescent="0.15">
      <c r="H157" s="26">
        <v>42509</v>
      </c>
      <c r="I157">
        <v>15.149999999999999</v>
      </c>
      <c r="J157" s="22">
        <f t="shared" si="61"/>
        <v>15.2775</v>
      </c>
      <c r="K157" s="22">
        <f t="shared" si="62"/>
        <v>17.658732000000001</v>
      </c>
      <c r="L157" s="22">
        <f t="shared" si="63"/>
        <v>12.896267999999999</v>
      </c>
      <c r="M157">
        <f t="shared" si="32"/>
        <v>16.864988</v>
      </c>
      <c r="N157">
        <f t="shared" si="33"/>
        <v>16.071244</v>
      </c>
      <c r="O157">
        <f t="shared" si="34"/>
        <v>14.483756</v>
      </c>
      <c r="P157">
        <f t="shared" si="35"/>
        <v>13.690011999999999</v>
      </c>
      <c r="R157">
        <v>3.9000000000000004</v>
      </c>
      <c r="S157" s="14">
        <f t="shared" si="64"/>
        <v>6.3840000000000012</v>
      </c>
      <c r="T157" s="14">
        <f t="shared" si="65"/>
        <v>11.899776000000003</v>
      </c>
      <c r="U157" s="14">
        <f t="shared" si="66"/>
        <v>0.86822400000000022</v>
      </c>
      <c r="V157">
        <f t="shared" si="37"/>
        <v>10.061184000000003</v>
      </c>
      <c r="W157">
        <f t="shared" si="38"/>
        <v>8.2225920000000023</v>
      </c>
      <c r="X157">
        <f t="shared" si="39"/>
        <v>4.545408000000001</v>
      </c>
      <c r="Y157">
        <f t="shared" si="40"/>
        <v>2.7068160000000008</v>
      </c>
      <c r="AA157" s="26">
        <v>42509</v>
      </c>
      <c r="AB157" s="14">
        <v>15.4</v>
      </c>
      <c r="AC157" s="22">
        <f t="shared" si="67"/>
        <v>15.132999999999999</v>
      </c>
      <c r="AD157" s="22">
        <f t="shared" si="41"/>
        <v>16.582252</v>
      </c>
      <c r="AE157" s="22">
        <f t="shared" si="41"/>
        <v>13.683748</v>
      </c>
      <c r="AF157">
        <f t="shared" si="42"/>
        <v>16.099167999999999</v>
      </c>
      <c r="AG157">
        <f t="shared" si="43"/>
        <v>15.616083999999999</v>
      </c>
      <c r="AH157">
        <f t="shared" si="44"/>
        <v>14.649915999999999</v>
      </c>
      <c r="AI157">
        <f t="shared" si="45"/>
        <v>14.166831999999999</v>
      </c>
      <c r="AK157">
        <v>1.6999999999999993</v>
      </c>
      <c r="AL157" s="14">
        <f t="shared" si="68"/>
        <v>1.9880000000000002</v>
      </c>
      <c r="AM157" s="14">
        <f t="shared" si="46"/>
        <v>4.5326399999999998</v>
      </c>
      <c r="AN157" s="14">
        <f t="shared" si="46"/>
        <v>0</v>
      </c>
      <c r="AO157">
        <f t="shared" si="47"/>
        <v>3.6844266666666661</v>
      </c>
      <c r="AP157">
        <f t="shared" si="48"/>
        <v>2.8362133333333333</v>
      </c>
      <c r="AQ157">
        <f t="shared" si="73"/>
        <v>1.3253333333333335</v>
      </c>
      <c r="AR157">
        <f t="shared" si="50"/>
        <v>0.66266666666666674</v>
      </c>
      <c r="AT157" s="26">
        <v>42509</v>
      </c>
      <c r="AU157" s="14">
        <v>14.9</v>
      </c>
      <c r="AV157" s="22">
        <f t="shared" ref="AV157:AX157" si="83">AV156</f>
        <v>15.422000000000001</v>
      </c>
      <c r="AW157" s="22">
        <f t="shared" si="83"/>
        <v>19.766840000000002</v>
      </c>
      <c r="AX157" s="22">
        <f t="shared" si="83"/>
        <v>11.077160000000001</v>
      </c>
      <c r="AY157">
        <f t="shared" si="52"/>
        <v>18.318560000000002</v>
      </c>
      <c r="AZ157">
        <f t="shared" si="53"/>
        <v>16.870280000000001</v>
      </c>
      <c r="BA157">
        <f t="shared" si="54"/>
        <v>13.97372</v>
      </c>
      <c r="BB157">
        <f t="shared" si="55"/>
        <v>12.52544</v>
      </c>
      <c r="BD157" s="2">
        <v>3.9000000000000004</v>
      </c>
      <c r="BE157" s="14">
        <f t="shared" ref="BE157:BG157" si="84">BE156</f>
        <v>5.96</v>
      </c>
      <c r="BF157" s="14">
        <f t="shared" si="84"/>
        <v>13.588799999999999</v>
      </c>
      <c r="BG157" s="14">
        <f t="shared" si="84"/>
        <v>0</v>
      </c>
      <c r="BH157">
        <f t="shared" si="57"/>
        <v>11.045866666666665</v>
      </c>
      <c r="BI157">
        <f t="shared" si="58"/>
        <v>8.502933333333333</v>
      </c>
      <c r="BJ157">
        <f t="shared" si="76"/>
        <v>3.9733333333333336</v>
      </c>
      <c r="BK157">
        <f t="shared" si="60"/>
        <v>1.9866666666666668</v>
      </c>
    </row>
    <row r="158" spans="8:63" x14ac:dyDescent="0.15">
      <c r="H158" s="26">
        <v>42510</v>
      </c>
      <c r="I158">
        <v>15.9</v>
      </c>
      <c r="J158" s="22">
        <f t="shared" si="61"/>
        <v>15.2775</v>
      </c>
      <c r="K158" s="22">
        <f t="shared" si="62"/>
        <v>17.658732000000001</v>
      </c>
      <c r="L158" s="22">
        <f t="shared" si="63"/>
        <v>12.896267999999999</v>
      </c>
      <c r="M158">
        <f t="shared" si="32"/>
        <v>16.864988</v>
      </c>
      <c r="N158">
        <f t="shared" si="33"/>
        <v>16.071244</v>
      </c>
      <c r="O158">
        <f t="shared" si="34"/>
        <v>14.483756</v>
      </c>
      <c r="P158">
        <f t="shared" si="35"/>
        <v>13.690011999999999</v>
      </c>
      <c r="R158">
        <v>5.2000000000000011</v>
      </c>
      <c r="S158" s="14">
        <f t="shared" si="64"/>
        <v>6.3840000000000012</v>
      </c>
      <c r="T158" s="14">
        <f t="shared" si="65"/>
        <v>11.899776000000003</v>
      </c>
      <c r="U158" s="14">
        <f t="shared" si="66"/>
        <v>0.86822400000000022</v>
      </c>
      <c r="V158">
        <f t="shared" si="37"/>
        <v>10.061184000000003</v>
      </c>
      <c r="W158">
        <f t="shared" si="38"/>
        <v>8.2225920000000023</v>
      </c>
      <c r="X158">
        <f t="shared" si="39"/>
        <v>4.545408000000001</v>
      </c>
      <c r="Y158">
        <f t="shared" si="40"/>
        <v>2.7068160000000008</v>
      </c>
      <c r="AA158" s="26">
        <v>42510</v>
      </c>
      <c r="AB158" s="14">
        <v>15.525</v>
      </c>
      <c r="AC158" s="22">
        <f t="shared" si="67"/>
        <v>15.132999999999999</v>
      </c>
      <c r="AD158" s="22">
        <f t="shared" si="41"/>
        <v>16.582252</v>
      </c>
      <c r="AE158" s="22">
        <f t="shared" si="41"/>
        <v>13.683748</v>
      </c>
      <c r="AF158">
        <f t="shared" si="42"/>
        <v>16.099167999999999</v>
      </c>
      <c r="AG158">
        <f t="shared" si="43"/>
        <v>15.616083999999999</v>
      </c>
      <c r="AH158">
        <f t="shared" si="44"/>
        <v>14.649915999999999</v>
      </c>
      <c r="AI158">
        <f t="shared" si="45"/>
        <v>14.166831999999999</v>
      </c>
      <c r="AK158">
        <v>2.2000000000000011</v>
      </c>
      <c r="AL158" s="14">
        <f t="shared" si="68"/>
        <v>1.9880000000000002</v>
      </c>
      <c r="AM158" s="14">
        <f t="shared" si="46"/>
        <v>4.5326399999999998</v>
      </c>
      <c r="AN158" s="14">
        <f t="shared" si="46"/>
        <v>0</v>
      </c>
      <c r="AO158">
        <f t="shared" si="47"/>
        <v>3.6844266666666661</v>
      </c>
      <c r="AP158">
        <f t="shared" si="48"/>
        <v>2.8362133333333333</v>
      </c>
      <c r="AQ158">
        <f t="shared" si="73"/>
        <v>1.3253333333333335</v>
      </c>
      <c r="AR158">
        <f t="shared" si="50"/>
        <v>0.66266666666666674</v>
      </c>
      <c r="AT158" s="26">
        <v>42510</v>
      </c>
      <c r="AU158" s="14">
        <v>16.275000000000002</v>
      </c>
      <c r="AV158" s="22">
        <f t="shared" ref="AV158:AX158" si="85">AV157</f>
        <v>15.422000000000001</v>
      </c>
      <c r="AW158" s="22">
        <f t="shared" si="85"/>
        <v>19.766840000000002</v>
      </c>
      <c r="AX158" s="22">
        <f t="shared" si="85"/>
        <v>11.077160000000001</v>
      </c>
      <c r="AY158">
        <f t="shared" si="52"/>
        <v>18.318560000000002</v>
      </c>
      <c r="AZ158">
        <f t="shared" si="53"/>
        <v>16.870280000000001</v>
      </c>
      <c r="BA158">
        <f t="shared" si="54"/>
        <v>13.97372</v>
      </c>
      <c r="BB158">
        <f t="shared" si="55"/>
        <v>12.52544</v>
      </c>
      <c r="BD158" s="2">
        <v>5.2000000000000011</v>
      </c>
      <c r="BE158" s="14">
        <f t="shared" ref="BE158:BG158" si="86">BE157</f>
        <v>5.96</v>
      </c>
      <c r="BF158" s="14">
        <f t="shared" si="86"/>
        <v>13.588799999999999</v>
      </c>
      <c r="BG158" s="14">
        <f t="shared" si="86"/>
        <v>0</v>
      </c>
      <c r="BH158">
        <f t="shared" si="57"/>
        <v>11.045866666666665</v>
      </c>
      <c r="BI158">
        <f t="shared" si="58"/>
        <v>8.502933333333333</v>
      </c>
      <c r="BJ158">
        <f t="shared" si="76"/>
        <v>3.9733333333333336</v>
      </c>
      <c r="BK158">
        <f t="shared" si="60"/>
        <v>1.9866666666666668</v>
      </c>
    </row>
    <row r="159" spans="8:63" x14ac:dyDescent="0.15">
      <c r="H159" s="26">
        <v>42513</v>
      </c>
      <c r="I159">
        <v>15.874999999999998</v>
      </c>
      <c r="J159" s="22">
        <f t="shared" si="61"/>
        <v>15.2775</v>
      </c>
      <c r="K159" s="22">
        <f t="shared" si="62"/>
        <v>17.658732000000001</v>
      </c>
      <c r="L159" s="22">
        <f t="shared" si="63"/>
        <v>12.896267999999999</v>
      </c>
      <c r="M159">
        <f t="shared" si="32"/>
        <v>16.864988</v>
      </c>
      <c r="N159">
        <f t="shared" si="33"/>
        <v>16.071244</v>
      </c>
      <c r="O159">
        <f t="shared" si="34"/>
        <v>14.483756</v>
      </c>
      <c r="P159">
        <f t="shared" si="35"/>
        <v>13.690011999999999</v>
      </c>
      <c r="R159">
        <v>10.199999999999999</v>
      </c>
      <c r="S159" s="14">
        <f t="shared" si="64"/>
        <v>6.3840000000000012</v>
      </c>
      <c r="T159" s="14">
        <f t="shared" si="65"/>
        <v>11.899776000000003</v>
      </c>
      <c r="U159" s="14">
        <f t="shared" si="66"/>
        <v>0.86822400000000022</v>
      </c>
      <c r="V159">
        <f t="shared" si="37"/>
        <v>10.061184000000003</v>
      </c>
      <c r="W159">
        <f t="shared" si="38"/>
        <v>8.2225920000000023</v>
      </c>
      <c r="X159">
        <f t="shared" si="39"/>
        <v>4.545408000000001</v>
      </c>
      <c r="Y159">
        <f t="shared" si="40"/>
        <v>2.7068160000000008</v>
      </c>
      <c r="AA159" s="26">
        <v>42513</v>
      </c>
      <c r="AB159" s="14">
        <v>15.5</v>
      </c>
      <c r="AC159" s="22">
        <f t="shared" si="67"/>
        <v>15.132999999999999</v>
      </c>
      <c r="AD159" s="22">
        <f t="shared" si="41"/>
        <v>16.582252</v>
      </c>
      <c r="AE159" s="22">
        <f t="shared" si="41"/>
        <v>13.683748</v>
      </c>
      <c r="AF159">
        <f t="shared" si="42"/>
        <v>16.099167999999999</v>
      </c>
      <c r="AG159">
        <f t="shared" si="43"/>
        <v>15.616083999999999</v>
      </c>
      <c r="AH159">
        <f t="shared" si="44"/>
        <v>14.649915999999999</v>
      </c>
      <c r="AI159">
        <f t="shared" si="45"/>
        <v>14.166831999999999</v>
      </c>
      <c r="AK159">
        <v>1.0999999999999996</v>
      </c>
      <c r="AL159" s="14">
        <f t="shared" si="68"/>
        <v>1.9880000000000002</v>
      </c>
      <c r="AM159" s="14">
        <f t="shared" si="46"/>
        <v>4.5326399999999998</v>
      </c>
      <c r="AN159" s="14">
        <f t="shared" si="46"/>
        <v>0</v>
      </c>
      <c r="AO159">
        <f t="shared" si="47"/>
        <v>3.6844266666666661</v>
      </c>
      <c r="AP159">
        <f t="shared" si="48"/>
        <v>2.8362133333333333</v>
      </c>
      <c r="AQ159">
        <f t="shared" si="73"/>
        <v>1.3253333333333335</v>
      </c>
      <c r="AR159">
        <f t="shared" si="50"/>
        <v>0.66266666666666674</v>
      </c>
      <c r="AT159" s="26">
        <v>42513</v>
      </c>
      <c r="AU159" s="14">
        <v>16.25</v>
      </c>
      <c r="AV159" s="22">
        <f t="shared" ref="AV159:AX159" si="87">AV158</f>
        <v>15.422000000000001</v>
      </c>
      <c r="AW159" s="22">
        <f t="shared" si="87"/>
        <v>19.766840000000002</v>
      </c>
      <c r="AX159" s="22">
        <f t="shared" si="87"/>
        <v>11.077160000000001</v>
      </c>
      <c r="AY159">
        <f t="shared" si="52"/>
        <v>18.318560000000002</v>
      </c>
      <c r="AZ159">
        <f t="shared" si="53"/>
        <v>16.870280000000001</v>
      </c>
      <c r="BA159">
        <f t="shared" si="54"/>
        <v>13.97372</v>
      </c>
      <c r="BB159">
        <f t="shared" si="55"/>
        <v>12.52544</v>
      </c>
      <c r="BD159" s="2">
        <v>10.199999999999999</v>
      </c>
      <c r="BE159" s="14">
        <f t="shared" ref="BE159:BG159" si="88">BE158</f>
        <v>5.96</v>
      </c>
      <c r="BF159" s="14">
        <f t="shared" si="88"/>
        <v>13.588799999999999</v>
      </c>
      <c r="BG159" s="14">
        <f t="shared" si="88"/>
        <v>0</v>
      </c>
      <c r="BH159">
        <f t="shared" si="57"/>
        <v>11.045866666666665</v>
      </c>
      <c r="BI159">
        <f t="shared" si="58"/>
        <v>8.502933333333333</v>
      </c>
      <c r="BJ159">
        <f t="shared" si="76"/>
        <v>3.9733333333333336</v>
      </c>
      <c r="BK159">
        <f t="shared" si="60"/>
        <v>1.9866666666666668</v>
      </c>
    </row>
    <row r="160" spans="8:63" x14ac:dyDescent="0.15">
      <c r="H160" s="26">
        <v>42514</v>
      </c>
      <c r="I160">
        <v>16.05</v>
      </c>
      <c r="J160" s="22">
        <f t="shared" si="61"/>
        <v>15.2775</v>
      </c>
      <c r="K160" s="22">
        <f t="shared" si="62"/>
        <v>17.658732000000001</v>
      </c>
      <c r="L160" s="22">
        <f t="shared" si="63"/>
        <v>12.896267999999999</v>
      </c>
      <c r="M160">
        <f t="shared" si="32"/>
        <v>16.864988</v>
      </c>
      <c r="N160">
        <f t="shared" si="33"/>
        <v>16.071244</v>
      </c>
      <c r="O160">
        <f t="shared" si="34"/>
        <v>14.483756</v>
      </c>
      <c r="P160">
        <f t="shared" si="35"/>
        <v>13.690011999999999</v>
      </c>
      <c r="R160">
        <v>4.5999999999999996</v>
      </c>
      <c r="S160" s="14">
        <f t="shared" si="64"/>
        <v>6.3840000000000012</v>
      </c>
      <c r="T160" s="14">
        <f t="shared" si="65"/>
        <v>11.899776000000003</v>
      </c>
      <c r="U160" s="14">
        <f t="shared" si="66"/>
        <v>0.86822400000000022</v>
      </c>
      <c r="V160">
        <f t="shared" si="37"/>
        <v>10.061184000000003</v>
      </c>
      <c r="W160">
        <f t="shared" si="38"/>
        <v>8.2225920000000023</v>
      </c>
      <c r="X160">
        <f t="shared" si="39"/>
        <v>4.545408000000001</v>
      </c>
      <c r="Y160">
        <f t="shared" si="40"/>
        <v>2.7068160000000008</v>
      </c>
      <c r="AA160" s="26">
        <v>42514</v>
      </c>
      <c r="AB160" s="14">
        <v>16.25</v>
      </c>
      <c r="AC160" s="22">
        <f t="shared" si="67"/>
        <v>15.132999999999999</v>
      </c>
      <c r="AD160" s="22">
        <f t="shared" si="41"/>
        <v>16.582252</v>
      </c>
      <c r="AE160" s="22">
        <f t="shared" si="41"/>
        <v>13.683748</v>
      </c>
      <c r="AF160">
        <f t="shared" si="42"/>
        <v>16.099167999999999</v>
      </c>
      <c r="AG160">
        <f t="shared" si="43"/>
        <v>15.616083999999999</v>
      </c>
      <c r="AH160">
        <f t="shared" si="44"/>
        <v>14.649915999999999</v>
      </c>
      <c r="AI160">
        <f t="shared" si="45"/>
        <v>14.166831999999999</v>
      </c>
      <c r="AK160">
        <v>2.1999999999999993</v>
      </c>
      <c r="AL160" s="14">
        <f t="shared" si="68"/>
        <v>1.9880000000000002</v>
      </c>
      <c r="AM160" s="14">
        <f t="shared" si="46"/>
        <v>4.5326399999999998</v>
      </c>
      <c r="AN160" s="14">
        <f t="shared" si="46"/>
        <v>0</v>
      </c>
      <c r="AO160">
        <f t="shared" si="47"/>
        <v>3.6844266666666661</v>
      </c>
      <c r="AP160">
        <f t="shared" si="48"/>
        <v>2.8362133333333333</v>
      </c>
      <c r="AQ160">
        <f t="shared" si="73"/>
        <v>1.3253333333333335</v>
      </c>
      <c r="AR160">
        <f t="shared" si="50"/>
        <v>0.66266666666666674</v>
      </c>
      <c r="AT160" s="26">
        <v>42514</v>
      </c>
      <c r="AU160" s="14">
        <v>15.85</v>
      </c>
      <c r="AV160" s="22">
        <f t="shared" ref="AV160:AX160" si="89">AV159</f>
        <v>15.422000000000001</v>
      </c>
      <c r="AW160" s="22">
        <f t="shared" si="89"/>
        <v>19.766840000000002</v>
      </c>
      <c r="AX160" s="22">
        <f t="shared" si="89"/>
        <v>11.077160000000001</v>
      </c>
      <c r="AY160">
        <f t="shared" si="52"/>
        <v>18.318560000000002</v>
      </c>
      <c r="AZ160">
        <f t="shared" si="53"/>
        <v>16.870280000000001</v>
      </c>
      <c r="BA160">
        <f t="shared" si="54"/>
        <v>13.97372</v>
      </c>
      <c r="BB160">
        <f t="shared" si="55"/>
        <v>12.52544</v>
      </c>
      <c r="BD160" s="2">
        <v>4.5999999999999996</v>
      </c>
      <c r="BE160" s="14">
        <f t="shared" ref="BE160:BG160" si="90">BE159</f>
        <v>5.96</v>
      </c>
      <c r="BF160" s="14">
        <f t="shared" si="90"/>
        <v>13.588799999999999</v>
      </c>
      <c r="BG160" s="14">
        <f t="shared" si="90"/>
        <v>0</v>
      </c>
      <c r="BH160">
        <f t="shared" si="57"/>
        <v>11.045866666666665</v>
      </c>
      <c r="BI160">
        <f t="shared" si="58"/>
        <v>8.502933333333333</v>
      </c>
      <c r="BJ160">
        <f t="shared" si="76"/>
        <v>3.9733333333333336</v>
      </c>
      <c r="BK160">
        <f t="shared" si="60"/>
        <v>1.9866666666666668</v>
      </c>
    </row>
    <row r="161" spans="8:63" x14ac:dyDescent="0.15">
      <c r="H161" s="26">
        <v>42515</v>
      </c>
      <c r="I161">
        <v>15.737500000000001</v>
      </c>
      <c r="J161" s="22">
        <f t="shared" si="61"/>
        <v>15.2775</v>
      </c>
      <c r="K161" s="22">
        <f t="shared" si="62"/>
        <v>17.658732000000001</v>
      </c>
      <c r="L161" s="22">
        <f t="shared" si="63"/>
        <v>12.896267999999999</v>
      </c>
      <c r="M161">
        <f t="shared" si="32"/>
        <v>16.864988</v>
      </c>
      <c r="N161">
        <f t="shared" si="33"/>
        <v>16.071244</v>
      </c>
      <c r="O161">
        <f t="shared" si="34"/>
        <v>14.483756</v>
      </c>
      <c r="P161">
        <f t="shared" si="35"/>
        <v>13.690011999999999</v>
      </c>
      <c r="R161">
        <v>3.6999999999999993</v>
      </c>
      <c r="S161" s="14">
        <f t="shared" si="64"/>
        <v>6.3840000000000012</v>
      </c>
      <c r="T161" s="14">
        <f t="shared" si="65"/>
        <v>11.899776000000003</v>
      </c>
      <c r="U161" s="14">
        <f t="shared" si="66"/>
        <v>0.86822400000000022</v>
      </c>
      <c r="V161">
        <f t="shared" si="37"/>
        <v>10.061184000000003</v>
      </c>
      <c r="W161">
        <f t="shared" si="38"/>
        <v>8.2225920000000023</v>
      </c>
      <c r="X161">
        <f t="shared" si="39"/>
        <v>4.545408000000001</v>
      </c>
      <c r="Y161">
        <f t="shared" si="40"/>
        <v>2.7068160000000008</v>
      </c>
      <c r="AA161" s="26">
        <v>42515</v>
      </c>
      <c r="AB161" s="14">
        <v>15.75</v>
      </c>
      <c r="AC161" s="22">
        <f t="shared" si="67"/>
        <v>15.132999999999999</v>
      </c>
      <c r="AD161" s="22">
        <f t="shared" si="41"/>
        <v>16.582252</v>
      </c>
      <c r="AE161" s="22">
        <f t="shared" si="41"/>
        <v>13.683748</v>
      </c>
      <c r="AF161">
        <f t="shared" si="42"/>
        <v>16.099167999999999</v>
      </c>
      <c r="AG161">
        <f t="shared" si="43"/>
        <v>15.616083999999999</v>
      </c>
      <c r="AH161">
        <f t="shared" si="44"/>
        <v>14.649915999999999</v>
      </c>
      <c r="AI161">
        <f t="shared" si="45"/>
        <v>14.166831999999999</v>
      </c>
      <c r="AK161">
        <v>1.7999999999999989</v>
      </c>
      <c r="AL161" s="14">
        <f t="shared" si="68"/>
        <v>1.9880000000000002</v>
      </c>
      <c r="AM161" s="14">
        <f t="shared" si="46"/>
        <v>4.5326399999999998</v>
      </c>
      <c r="AN161" s="14">
        <f t="shared" si="46"/>
        <v>0</v>
      </c>
      <c r="AO161">
        <f t="shared" si="47"/>
        <v>3.6844266666666661</v>
      </c>
      <c r="AP161">
        <f t="shared" si="48"/>
        <v>2.8362133333333333</v>
      </c>
      <c r="AQ161">
        <f t="shared" si="73"/>
        <v>1.3253333333333335</v>
      </c>
      <c r="AR161">
        <f t="shared" si="50"/>
        <v>0.66266666666666674</v>
      </c>
      <c r="AT161" s="26">
        <v>42515</v>
      </c>
      <c r="AU161" s="14">
        <v>15.725000000000001</v>
      </c>
      <c r="AV161" s="22">
        <f t="shared" ref="AV161:AX161" si="91">AV160</f>
        <v>15.422000000000001</v>
      </c>
      <c r="AW161" s="22">
        <f t="shared" si="91"/>
        <v>19.766840000000002</v>
      </c>
      <c r="AX161" s="22">
        <f t="shared" si="91"/>
        <v>11.077160000000001</v>
      </c>
      <c r="AY161">
        <f t="shared" si="52"/>
        <v>18.318560000000002</v>
      </c>
      <c r="AZ161">
        <f t="shared" si="53"/>
        <v>16.870280000000001</v>
      </c>
      <c r="BA161">
        <f t="shared" si="54"/>
        <v>13.97372</v>
      </c>
      <c r="BB161">
        <f t="shared" si="55"/>
        <v>12.52544</v>
      </c>
      <c r="BD161" s="2">
        <v>3.6999999999999993</v>
      </c>
      <c r="BE161" s="14">
        <f t="shared" ref="BE161:BG161" si="92">BE160</f>
        <v>5.96</v>
      </c>
      <c r="BF161" s="14">
        <f t="shared" si="92"/>
        <v>13.588799999999999</v>
      </c>
      <c r="BG161" s="14">
        <f t="shared" si="92"/>
        <v>0</v>
      </c>
      <c r="BH161">
        <f t="shared" si="57"/>
        <v>11.045866666666665</v>
      </c>
      <c r="BI161">
        <f t="shared" si="58"/>
        <v>8.502933333333333</v>
      </c>
      <c r="BJ161">
        <f t="shared" si="76"/>
        <v>3.9733333333333336</v>
      </c>
      <c r="BK161">
        <f t="shared" si="60"/>
        <v>1.9866666666666668</v>
      </c>
    </row>
    <row r="162" spans="8:63" x14ac:dyDescent="0.15">
      <c r="H162" s="26">
        <v>42516</v>
      </c>
      <c r="I162">
        <v>15.225</v>
      </c>
      <c r="J162" s="22">
        <f t="shared" si="61"/>
        <v>15.2775</v>
      </c>
      <c r="K162" s="22">
        <f t="shared" si="62"/>
        <v>17.658732000000001</v>
      </c>
      <c r="L162" s="22">
        <f t="shared" si="63"/>
        <v>12.896267999999999</v>
      </c>
      <c r="M162">
        <f t="shared" si="32"/>
        <v>16.864988</v>
      </c>
      <c r="N162">
        <f t="shared" si="33"/>
        <v>16.071244</v>
      </c>
      <c r="O162">
        <f t="shared" si="34"/>
        <v>14.483756</v>
      </c>
      <c r="P162">
        <f t="shared" si="35"/>
        <v>13.690011999999999</v>
      </c>
      <c r="R162">
        <v>7.9</v>
      </c>
      <c r="S162" s="14">
        <f t="shared" si="64"/>
        <v>6.3840000000000012</v>
      </c>
      <c r="T162" s="14">
        <f t="shared" si="65"/>
        <v>11.899776000000003</v>
      </c>
      <c r="U162" s="14">
        <f t="shared" si="66"/>
        <v>0.86822400000000022</v>
      </c>
      <c r="V162">
        <f t="shared" si="37"/>
        <v>10.061184000000003</v>
      </c>
      <c r="W162">
        <f t="shared" si="38"/>
        <v>8.2225920000000023</v>
      </c>
      <c r="X162">
        <f t="shared" si="39"/>
        <v>4.545408000000001</v>
      </c>
      <c r="Y162">
        <f t="shared" si="40"/>
        <v>2.7068160000000008</v>
      </c>
      <c r="AA162" s="26">
        <v>42516</v>
      </c>
      <c r="AB162" s="14">
        <v>15.074999999999999</v>
      </c>
      <c r="AC162" s="22">
        <f t="shared" si="67"/>
        <v>15.132999999999999</v>
      </c>
      <c r="AD162" s="22">
        <f t="shared" si="41"/>
        <v>16.582252</v>
      </c>
      <c r="AE162" s="22">
        <f t="shared" si="41"/>
        <v>13.683748</v>
      </c>
      <c r="AF162">
        <f t="shared" si="42"/>
        <v>16.099167999999999</v>
      </c>
      <c r="AG162">
        <f t="shared" si="43"/>
        <v>15.616083999999999</v>
      </c>
      <c r="AH162">
        <f t="shared" si="44"/>
        <v>14.649915999999999</v>
      </c>
      <c r="AI162">
        <f t="shared" si="45"/>
        <v>14.166831999999999</v>
      </c>
      <c r="AK162">
        <v>2</v>
      </c>
      <c r="AL162" s="14">
        <f t="shared" si="68"/>
        <v>1.9880000000000002</v>
      </c>
      <c r="AM162" s="14">
        <f t="shared" si="46"/>
        <v>4.5326399999999998</v>
      </c>
      <c r="AN162" s="14">
        <f t="shared" si="46"/>
        <v>0</v>
      </c>
      <c r="AO162">
        <f t="shared" si="47"/>
        <v>3.6844266666666661</v>
      </c>
      <c r="AP162">
        <f t="shared" si="48"/>
        <v>2.8362133333333333</v>
      </c>
      <c r="AQ162">
        <f t="shared" si="73"/>
        <v>1.3253333333333335</v>
      </c>
      <c r="AR162">
        <f t="shared" si="50"/>
        <v>0.66266666666666674</v>
      </c>
      <c r="AT162" s="26">
        <v>42516</v>
      </c>
      <c r="AU162" s="14">
        <v>15.375</v>
      </c>
      <c r="AV162" s="22">
        <f t="shared" ref="AV162:AX162" si="93">AV161</f>
        <v>15.422000000000001</v>
      </c>
      <c r="AW162" s="22">
        <f t="shared" si="93"/>
        <v>19.766840000000002</v>
      </c>
      <c r="AX162" s="22">
        <f t="shared" si="93"/>
        <v>11.077160000000001</v>
      </c>
      <c r="AY162">
        <f t="shared" si="52"/>
        <v>18.318560000000002</v>
      </c>
      <c r="AZ162">
        <f t="shared" si="53"/>
        <v>16.870280000000001</v>
      </c>
      <c r="BA162">
        <f t="shared" si="54"/>
        <v>13.97372</v>
      </c>
      <c r="BB162">
        <f t="shared" si="55"/>
        <v>12.52544</v>
      </c>
      <c r="BD162" s="2">
        <v>7.9</v>
      </c>
      <c r="BE162" s="14">
        <f t="shared" ref="BE162:BG162" si="94">BE161</f>
        <v>5.96</v>
      </c>
      <c r="BF162" s="14">
        <f t="shared" si="94"/>
        <v>13.588799999999999</v>
      </c>
      <c r="BG162" s="14">
        <f t="shared" si="94"/>
        <v>0</v>
      </c>
      <c r="BH162">
        <f t="shared" si="57"/>
        <v>11.045866666666665</v>
      </c>
      <c r="BI162">
        <f t="shared" si="58"/>
        <v>8.502933333333333</v>
      </c>
      <c r="BJ162">
        <f t="shared" si="76"/>
        <v>3.9733333333333336</v>
      </c>
      <c r="BK162">
        <f t="shared" si="60"/>
        <v>1.9866666666666668</v>
      </c>
    </row>
    <row r="163" spans="8:63" x14ac:dyDescent="0.15">
      <c r="H163" s="26">
        <v>42517</v>
      </c>
      <c r="I163">
        <v>16.024999999999999</v>
      </c>
      <c r="J163" s="22">
        <f t="shared" si="61"/>
        <v>15.2775</v>
      </c>
      <c r="K163" s="22">
        <f t="shared" si="62"/>
        <v>17.658732000000001</v>
      </c>
      <c r="L163" s="22">
        <f t="shared" si="63"/>
        <v>12.896267999999999</v>
      </c>
      <c r="M163">
        <f t="shared" si="32"/>
        <v>16.864988</v>
      </c>
      <c r="N163">
        <f t="shared" si="33"/>
        <v>16.071244</v>
      </c>
      <c r="O163">
        <f t="shared" si="34"/>
        <v>14.483756</v>
      </c>
      <c r="P163">
        <f t="shared" si="35"/>
        <v>13.690011999999999</v>
      </c>
      <c r="R163">
        <v>8.3999999999999986</v>
      </c>
      <c r="S163" s="14">
        <f t="shared" si="64"/>
        <v>6.3840000000000012</v>
      </c>
      <c r="T163" s="14">
        <f t="shared" si="65"/>
        <v>11.899776000000003</v>
      </c>
      <c r="U163" s="14">
        <f t="shared" si="66"/>
        <v>0.86822400000000022</v>
      </c>
      <c r="V163">
        <f t="shared" si="37"/>
        <v>10.061184000000003</v>
      </c>
      <c r="W163">
        <f t="shared" si="38"/>
        <v>8.2225920000000023</v>
      </c>
      <c r="X163">
        <f t="shared" si="39"/>
        <v>4.545408000000001</v>
      </c>
      <c r="Y163">
        <f t="shared" si="40"/>
        <v>2.7068160000000008</v>
      </c>
      <c r="AA163" s="26">
        <v>42517</v>
      </c>
      <c r="AB163" s="14">
        <v>14.975000000000001</v>
      </c>
      <c r="AC163" s="22">
        <f t="shared" si="67"/>
        <v>15.132999999999999</v>
      </c>
      <c r="AD163" s="22">
        <f t="shared" si="41"/>
        <v>16.582252</v>
      </c>
      <c r="AE163" s="22">
        <f t="shared" si="41"/>
        <v>13.683748</v>
      </c>
      <c r="AF163">
        <f t="shared" si="42"/>
        <v>16.099167999999999</v>
      </c>
      <c r="AG163">
        <f t="shared" si="43"/>
        <v>15.616083999999999</v>
      </c>
      <c r="AH163">
        <f t="shared" si="44"/>
        <v>14.649915999999999</v>
      </c>
      <c r="AI163">
        <f t="shared" si="45"/>
        <v>14.166831999999999</v>
      </c>
      <c r="AK163">
        <v>1.8000000000000007</v>
      </c>
      <c r="AL163" s="14">
        <f t="shared" si="68"/>
        <v>1.9880000000000002</v>
      </c>
      <c r="AM163" s="14">
        <f t="shared" si="46"/>
        <v>4.5326399999999998</v>
      </c>
      <c r="AN163" s="14">
        <f t="shared" si="46"/>
        <v>0</v>
      </c>
      <c r="AO163">
        <f t="shared" si="47"/>
        <v>3.6844266666666661</v>
      </c>
      <c r="AP163">
        <f t="shared" si="48"/>
        <v>2.8362133333333333</v>
      </c>
      <c r="AQ163">
        <f t="shared" si="73"/>
        <v>1.3253333333333335</v>
      </c>
      <c r="AR163">
        <f t="shared" si="50"/>
        <v>0.66266666666666674</v>
      </c>
      <c r="AT163" s="26">
        <v>42517</v>
      </c>
      <c r="AU163" s="14">
        <v>17.074999999999999</v>
      </c>
      <c r="AV163" s="22">
        <f t="shared" ref="AV163:AX163" si="95">AV162</f>
        <v>15.422000000000001</v>
      </c>
      <c r="AW163" s="22">
        <f t="shared" si="95"/>
        <v>19.766840000000002</v>
      </c>
      <c r="AX163" s="22">
        <f t="shared" si="95"/>
        <v>11.077160000000001</v>
      </c>
      <c r="AY163">
        <f t="shared" si="52"/>
        <v>18.318560000000002</v>
      </c>
      <c r="AZ163">
        <f t="shared" si="53"/>
        <v>16.870280000000001</v>
      </c>
      <c r="BA163">
        <f t="shared" si="54"/>
        <v>13.97372</v>
      </c>
      <c r="BB163">
        <f t="shared" si="55"/>
        <v>12.52544</v>
      </c>
      <c r="BD163" s="2">
        <v>8.3999999999999986</v>
      </c>
      <c r="BE163" s="14">
        <f t="shared" ref="BE163:BG163" si="96">BE162</f>
        <v>5.96</v>
      </c>
      <c r="BF163" s="14">
        <f t="shared" si="96"/>
        <v>13.588799999999999</v>
      </c>
      <c r="BG163" s="14">
        <f t="shared" si="96"/>
        <v>0</v>
      </c>
      <c r="BH163">
        <f t="shared" si="57"/>
        <v>11.045866666666665</v>
      </c>
      <c r="BI163">
        <f t="shared" si="58"/>
        <v>8.502933333333333</v>
      </c>
      <c r="BJ163">
        <f t="shared" si="76"/>
        <v>3.9733333333333336</v>
      </c>
      <c r="BK163">
        <f t="shared" si="60"/>
        <v>1.9866666666666668</v>
      </c>
    </row>
    <row r="164" spans="8:63" x14ac:dyDescent="0.15">
      <c r="H164" s="26">
        <v>42520</v>
      </c>
      <c r="I164">
        <v>13.975</v>
      </c>
      <c r="J164" s="22">
        <f t="shared" si="61"/>
        <v>15.2775</v>
      </c>
      <c r="K164" s="22">
        <f t="shared" si="62"/>
        <v>17.658732000000001</v>
      </c>
      <c r="L164" s="22">
        <f t="shared" si="63"/>
        <v>12.896267999999999</v>
      </c>
      <c r="M164">
        <f t="shared" si="32"/>
        <v>16.864988</v>
      </c>
      <c r="N164">
        <f t="shared" si="33"/>
        <v>16.071244</v>
      </c>
      <c r="O164">
        <f t="shared" si="34"/>
        <v>14.483756</v>
      </c>
      <c r="P164">
        <f t="shared" si="35"/>
        <v>13.690011999999999</v>
      </c>
      <c r="R164">
        <v>8.3000000000000007</v>
      </c>
      <c r="S164" s="14">
        <f t="shared" si="64"/>
        <v>6.3840000000000012</v>
      </c>
      <c r="T164" s="14">
        <f t="shared" si="65"/>
        <v>11.899776000000003</v>
      </c>
      <c r="U164" s="14">
        <f t="shared" si="66"/>
        <v>0.86822400000000022</v>
      </c>
      <c r="V164">
        <f t="shared" si="37"/>
        <v>10.061184000000003</v>
      </c>
      <c r="W164">
        <f t="shared" si="38"/>
        <v>8.2225920000000023</v>
      </c>
      <c r="X164">
        <f t="shared" si="39"/>
        <v>4.545408000000001</v>
      </c>
      <c r="Y164">
        <f t="shared" si="40"/>
        <v>2.7068160000000008</v>
      </c>
      <c r="AA164" s="26">
        <v>42520</v>
      </c>
      <c r="AB164" s="14">
        <v>15.074999999999999</v>
      </c>
      <c r="AC164" s="22">
        <f t="shared" si="67"/>
        <v>15.132999999999999</v>
      </c>
      <c r="AD164" s="22">
        <f t="shared" si="41"/>
        <v>16.582252</v>
      </c>
      <c r="AE164" s="22">
        <f t="shared" si="41"/>
        <v>13.683748</v>
      </c>
      <c r="AF164">
        <f t="shared" si="42"/>
        <v>16.099167999999999</v>
      </c>
      <c r="AG164">
        <f t="shared" si="43"/>
        <v>15.616083999999999</v>
      </c>
      <c r="AH164">
        <f t="shared" si="44"/>
        <v>14.649915999999999</v>
      </c>
      <c r="AI164">
        <f t="shared" si="45"/>
        <v>14.166831999999999</v>
      </c>
      <c r="AK164">
        <v>2</v>
      </c>
      <c r="AL164" s="14">
        <f t="shared" si="68"/>
        <v>1.9880000000000002</v>
      </c>
      <c r="AM164" s="14">
        <f t="shared" si="46"/>
        <v>4.5326399999999998</v>
      </c>
      <c r="AN164" s="14">
        <f t="shared" si="46"/>
        <v>0</v>
      </c>
      <c r="AO164">
        <f t="shared" si="47"/>
        <v>3.6844266666666661</v>
      </c>
      <c r="AP164">
        <f t="shared" si="48"/>
        <v>2.8362133333333333</v>
      </c>
      <c r="AQ164">
        <f t="shared" si="73"/>
        <v>1.3253333333333335</v>
      </c>
      <c r="AR164">
        <f t="shared" si="50"/>
        <v>0.66266666666666674</v>
      </c>
      <c r="AT164" s="26">
        <v>42520</v>
      </c>
      <c r="AU164" s="14">
        <v>12.875</v>
      </c>
      <c r="AV164" s="22">
        <f t="shared" ref="AV164:AX164" si="97">AV163</f>
        <v>15.422000000000001</v>
      </c>
      <c r="AW164" s="22">
        <f t="shared" si="97"/>
        <v>19.766840000000002</v>
      </c>
      <c r="AX164" s="22">
        <f t="shared" si="97"/>
        <v>11.077160000000001</v>
      </c>
      <c r="AY164">
        <f t="shared" si="52"/>
        <v>18.318560000000002</v>
      </c>
      <c r="AZ164">
        <f t="shared" si="53"/>
        <v>16.870280000000001</v>
      </c>
      <c r="BA164">
        <f t="shared" si="54"/>
        <v>13.97372</v>
      </c>
      <c r="BB164">
        <f t="shared" si="55"/>
        <v>12.52544</v>
      </c>
      <c r="BD164" s="2">
        <v>8.3000000000000007</v>
      </c>
      <c r="BE164" s="14">
        <f t="shared" ref="BE164:BG164" si="98">BE163</f>
        <v>5.96</v>
      </c>
      <c r="BF164" s="14">
        <f t="shared" si="98"/>
        <v>13.588799999999999</v>
      </c>
      <c r="BG164" s="14">
        <f t="shared" si="98"/>
        <v>0</v>
      </c>
      <c r="BH164">
        <f t="shared" si="57"/>
        <v>11.045866666666665</v>
      </c>
      <c r="BI164">
        <f t="shared" si="58"/>
        <v>8.502933333333333</v>
      </c>
      <c r="BJ164">
        <f t="shared" si="76"/>
        <v>3.9733333333333336</v>
      </c>
      <c r="BK164">
        <f t="shared" si="60"/>
        <v>1.9866666666666668</v>
      </c>
    </row>
    <row r="165" spans="8:63" x14ac:dyDescent="0.15">
      <c r="H165" s="26">
        <v>42521</v>
      </c>
      <c r="I165">
        <v>15.525</v>
      </c>
      <c r="J165" s="22">
        <f t="shared" si="61"/>
        <v>15.2775</v>
      </c>
      <c r="K165" s="22">
        <f t="shared" si="62"/>
        <v>17.658732000000001</v>
      </c>
      <c r="L165" s="22">
        <f t="shared" si="63"/>
        <v>12.896267999999999</v>
      </c>
      <c r="M165">
        <f t="shared" si="32"/>
        <v>16.864988</v>
      </c>
      <c r="N165">
        <f t="shared" si="33"/>
        <v>16.071244</v>
      </c>
      <c r="O165">
        <f t="shared" si="34"/>
        <v>14.483756</v>
      </c>
      <c r="P165">
        <f t="shared" si="35"/>
        <v>13.690011999999999</v>
      </c>
      <c r="R165">
        <v>7.7000000000000011</v>
      </c>
      <c r="S165" s="14">
        <f t="shared" si="64"/>
        <v>6.3840000000000012</v>
      </c>
      <c r="T165" s="14">
        <f t="shared" si="65"/>
        <v>11.899776000000003</v>
      </c>
      <c r="U165" s="14">
        <f t="shared" si="66"/>
        <v>0.86822400000000022</v>
      </c>
      <c r="V165">
        <f t="shared" si="37"/>
        <v>10.061184000000003</v>
      </c>
      <c r="W165">
        <f t="shared" si="38"/>
        <v>8.2225920000000023</v>
      </c>
      <c r="X165">
        <f t="shared" si="39"/>
        <v>4.545408000000001</v>
      </c>
      <c r="Y165">
        <f t="shared" si="40"/>
        <v>2.7068160000000008</v>
      </c>
      <c r="AA165" s="26">
        <v>42521</v>
      </c>
      <c r="AB165" s="14">
        <v>14.350000000000001</v>
      </c>
      <c r="AC165" s="22">
        <f t="shared" si="67"/>
        <v>15.132999999999999</v>
      </c>
      <c r="AD165" s="22">
        <f t="shared" si="41"/>
        <v>16.582252</v>
      </c>
      <c r="AE165" s="22">
        <f t="shared" si="41"/>
        <v>13.683748</v>
      </c>
      <c r="AF165">
        <f t="shared" si="42"/>
        <v>16.099167999999999</v>
      </c>
      <c r="AG165">
        <f t="shared" si="43"/>
        <v>15.616083999999999</v>
      </c>
      <c r="AH165">
        <f t="shared" si="44"/>
        <v>14.649915999999999</v>
      </c>
      <c r="AI165">
        <f t="shared" si="45"/>
        <v>14.166831999999999</v>
      </c>
      <c r="AK165">
        <v>1.4000000000000004</v>
      </c>
      <c r="AL165" s="14">
        <f t="shared" si="68"/>
        <v>1.9880000000000002</v>
      </c>
      <c r="AM165" s="14">
        <f t="shared" si="46"/>
        <v>4.5326399999999998</v>
      </c>
      <c r="AN165" s="14">
        <f t="shared" si="46"/>
        <v>0</v>
      </c>
      <c r="AO165">
        <f t="shared" si="47"/>
        <v>3.6844266666666661</v>
      </c>
      <c r="AP165">
        <f t="shared" si="48"/>
        <v>2.8362133333333333</v>
      </c>
      <c r="AQ165">
        <f t="shared" si="73"/>
        <v>1.3253333333333335</v>
      </c>
      <c r="AR165">
        <f t="shared" si="50"/>
        <v>0.66266666666666674</v>
      </c>
      <c r="AT165" s="26">
        <v>42521</v>
      </c>
      <c r="AU165" s="14">
        <v>16.7</v>
      </c>
      <c r="AV165" s="22">
        <f t="shared" ref="AV165:AX165" si="99">AV164</f>
        <v>15.422000000000001</v>
      </c>
      <c r="AW165" s="22">
        <f t="shared" si="99"/>
        <v>19.766840000000002</v>
      </c>
      <c r="AX165" s="22">
        <f t="shared" si="99"/>
        <v>11.077160000000001</v>
      </c>
      <c r="AY165">
        <f t="shared" si="52"/>
        <v>18.318560000000002</v>
      </c>
      <c r="AZ165">
        <f t="shared" si="53"/>
        <v>16.870280000000001</v>
      </c>
      <c r="BA165">
        <f t="shared" si="54"/>
        <v>13.97372</v>
      </c>
      <c r="BB165">
        <f t="shared" si="55"/>
        <v>12.52544</v>
      </c>
      <c r="BD165" s="2">
        <v>7.7000000000000011</v>
      </c>
      <c r="BE165" s="14">
        <f t="shared" ref="BE165:BG165" si="100">BE164</f>
        <v>5.96</v>
      </c>
      <c r="BF165" s="14">
        <f t="shared" si="100"/>
        <v>13.588799999999999</v>
      </c>
      <c r="BG165" s="14">
        <f t="shared" si="100"/>
        <v>0</v>
      </c>
      <c r="BH165">
        <f t="shared" si="57"/>
        <v>11.045866666666665</v>
      </c>
      <c r="BI165">
        <f t="shared" si="58"/>
        <v>8.502933333333333</v>
      </c>
      <c r="BJ165">
        <f t="shared" si="76"/>
        <v>3.9733333333333336</v>
      </c>
      <c r="BK165">
        <f t="shared" si="60"/>
        <v>1.9866666666666668</v>
      </c>
    </row>
    <row r="166" spans="8:63" x14ac:dyDescent="0.15">
      <c r="H166" s="26">
        <v>42522</v>
      </c>
      <c r="I166">
        <v>15.262499999999999</v>
      </c>
      <c r="J166" s="22">
        <f t="shared" si="61"/>
        <v>15.2775</v>
      </c>
      <c r="K166" s="22">
        <f t="shared" si="62"/>
        <v>17.658732000000001</v>
      </c>
      <c r="L166" s="22">
        <f t="shared" si="63"/>
        <v>12.896267999999999</v>
      </c>
      <c r="M166">
        <f t="shared" si="32"/>
        <v>16.864988</v>
      </c>
      <c r="N166">
        <f t="shared" si="33"/>
        <v>16.071244</v>
      </c>
      <c r="O166">
        <f t="shared" si="34"/>
        <v>14.483756</v>
      </c>
      <c r="P166">
        <f t="shared" si="35"/>
        <v>13.690011999999999</v>
      </c>
      <c r="R166">
        <v>6.6</v>
      </c>
      <c r="S166" s="14">
        <f t="shared" si="64"/>
        <v>6.3840000000000012</v>
      </c>
      <c r="T166" s="14">
        <f t="shared" si="65"/>
        <v>11.899776000000003</v>
      </c>
      <c r="U166" s="14">
        <f t="shared" si="66"/>
        <v>0.86822400000000022</v>
      </c>
      <c r="V166">
        <f t="shared" si="37"/>
        <v>10.061184000000003</v>
      </c>
      <c r="W166">
        <f t="shared" si="38"/>
        <v>8.2225920000000023</v>
      </c>
      <c r="X166">
        <f t="shared" si="39"/>
        <v>4.545408000000001</v>
      </c>
      <c r="Y166">
        <f t="shared" si="40"/>
        <v>2.7068160000000008</v>
      </c>
      <c r="AA166" s="26">
        <v>42522</v>
      </c>
      <c r="AB166" s="14">
        <v>14</v>
      </c>
      <c r="AC166" s="22">
        <f t="shared" si="67"/>
        <v>15.132999999999999</v>
      </c>
      <c r="AD166" s="22">
        <f t="shared" si="67"/>
        <v>16.582252</v>
      </c>
      <c r="AE166" s="22">
        <f t="shared" si="67"/>
        <v>13.683748</v>
      </c>
      <c r="AF166">
        <f t="shared" si="42"/>
        <v>16.099167999999999</v>
      </c>
      <c r="AG166">
        <f t="shared" si="43"/>
        <v>15.616083999999999</v>
      </c>
      <c r="AH166">
        <f t="shared" si="44"/>
        <v>14.649915999999999</v>
      </c>
      <c r="AI166">
        <f t="shared" si="45"/>
        <v>14.166831999999999</v>
      </c>
      <c r="AK166">
        <v>2.6999999999999993</v>
      </c>
      <c r="AL166" s="14">
        <f t="shared" si="68"/>
        <v>1.9880000000000002</v>
      </c>
      <c r="AM166" s="14">
        <f t="shared" si="68"/>
        <v>4.5326399999999998</v>
      </c>
      <c r="AN166" s="14">
        <f t="shared" si="68"/>
        <v>0</v>
      </c>
      <c r="AO166">
        <f t="shared" si="47"/>
        <v>3.6844266666666661</v>
      </c>
      <c r="AP166">
        <f t="shared" si="48"/>
        <v>2.8362133333333333</v>
      </c>
      <c r="AQ166">
        <f t="shared" si="73"/>
        <v>1.3253333333333335</v>
      </c>
      <c r="AR166">
        <f t="shared" si="50"/>
        <v>0.66266666666666674</v>
      </c>
      <c r="AT166" s="26">
        <v>42522</v>
      </c>
      <c r="AU166" s="14">
        <v>16.524999999999999</v>
      </c>
      <c r="AV166" s="22">
        <f t="shared" ref="AV166:AX166" si="101">AV165</f>
        <v>15.422000000000001</v>
      </c>
      <c r="AW166" s="22">
        <f t="shared" si="101"/>
        <v>19.766840000000002</v>
      </c>
      <c r="AX166" s="22">
        <f t="shared" si="101"/>
        <v>11.077160000000001</v>
      </c>
      <c r="AY166">
        <f t="shared" si="52"/>
        <v>18.318560000000002</v>
      </c>
      <c r="AZ166">
        <f t="shared" si="53"/>
        <v>16.870280000000001</v>
      </c>
      <c r="BA166">
        <f t="shared" si="54"/>
        <v>13.97372</v>
      </c>
      <c r="BB166">
        <f t="shared" si="55"/>
        <v>12.52544</v>
      </c>
      <c r="BD166" s="2">
        <v>5.0999999999999996</v>
      </c>
      <c r="BE166" s="14">
        <f t="shared" ref="BE166:BG166" si="102">BE165</f>
        <v>5.96</v>
      </c>
      <c r="BF166" s="14">
        <f t="shared" si="102"/>
        <v>13.588799999999999</v>
      </c>
      <c r="BG166" s="14">
        <f t="shared" si="102"/>
        <v>0</v>
      </c>
      <c r="BH166">
        <f t="shared" si="57"/>
        <v>11.045866666666665</v>
      </c>
      <c r="BI166">
        <f t="shared" si="58"/>
        <v>8.502933333333333</v>
      </c>
      <c r="BJ166">
        <f t="shared" si="76"/>
        <v>3.9733333333333336</v>
      </c>
      <c r="BK166">
        <f t="shared" si="60"/>
        <v>1.9866666666666668</v>
      </c>
    </row>
    <row r="167" spans="8:63" x14ac:dyDescent="0.15">
      <c r="H167" s="26">
        <v>42523</v>
      </c>
      <c r="I167">
        <v>14.424999999999999</v>
      </c>
      <c r="J167" s="22">
        <f t="shared" si="61"/>
        <v>15.2775</v>
      </c>
      <c r="K167" s="22">
        <f t="shared" si="62"/>
        <v>17.658732000000001</v>
      </c>
      <c r="L167" s="22">
        <f t="shared" si="63"/>
        <v>12.896267999999999</v>
      </c>
      <c r="M167">
        <f t="shared" si="32"/>
        <v>16.864988</v>
      </c>
      <c r="N167">
        <f t="shared" si="33"/>
        <v>16.071244</v>
      </c>
      <c r="O167">
        <f t="shared" si="34"/>
        <v>14.483756</v>
      </c>
      <c r="P167">
        <f t="shared" si="35"/>
        <v>13.690011999999999</v>
      </c>
      <c r="R167">
        <v>4.0000000000000018</v>
      </c>
      <c r="S167" s="14">
        <f t="shared" si="64"/>
        <v>6.3840000000000012</v>
      </c>
      <c r="T167" s="14">
        <f t="shared" si="65"/>
        <v>11.899776000000003</v>
      </c>
      <c r="U167" s="14">
        <f t="shared" si="66"/>
        <v>0.86822400000000022</v>
      </c>
      <c r="V167">
        <f t="shared" si="37"/>
        <v>10.061184000000003</v>
      </c>
      <c r="W167">
        <f t="shared" si="38"/>
        <v>8.2225920000000023</v>
      </c>
      <c r="X167">
        <f t="shared" si="39"/>
        <v>4.545408000000001</v>
      </c>
      <c r="Y167">
        <f t="shared" si="40"/>
        <v>2.7068160000000008</v>
      </c>
      <c r="AA167" s="26">
        <v>42523</v>
      </c>
      <c r="AB167" s="14">
        <v>14.275</v>
      </c>
      <c r="AC167" s="22">
        <f t="shared" ref="AC167:AE173" si="103">AC166</f>
        <v>15.132999999999999</v>
      </c>
      <c r="AD167" s="22">
        <f t="shared" si="103"/>
        <v>16.582252</v>
      </c>
      <c r="AE167" s="22">
        <f t="shared" si="103"/>
        <v>13.683748</v>
      </c>
      <c r="AF167">
        <f t="shared" si="42"/>
        <v>16.099167999999999</v>
      </c>
      <c r="AG167">
        <f t="shared" si="43"/>
        <v>15.616083999999999</v>
      </c>
      <c r="AH167">
        <f t="shared" si="44"/>
        <v>14.649915999999999</v>
      </c>
      <c r="AI167">
        <f t="shared" si="45"/>
        <v>14.166831999999999</v>
      </c>
      <c r="AK167">
        <v>1.3000000000000007</v>
      </c>
      <c r="AL167" s="14">
        <f t="shared" ref="AL167:AN173" si="104">AL166</f>
        <v>1.9880000000000002</v>
      </c>
      <c r="AM167" s="14">
        <f t="shared" si="104"/>
        <v>4.5326399999999998</v>
      </c>
      <c r="AN167" s="14">
        <f t="shared" si="104"/>
        <v>0</v>
      </c>
      <c r="AO167">
        <f t="shared" si="47"/>
        <v>3.6844266666666661</v>
      </c>
      <c r="AP167">
        <f t="shared" si="48"/>
        <v>2.8362133333333333</v>
      </c>
      <c r="AQ167">
        <f t="shared" si="73"/>
        <v>1.3253333333333335</v>
      </c>
      <c r="AR167">
        <f t="shared" si="50"/>
        <v>0.66266666666666674</v>
      </c>
      <c r="AT167" s="26">
        <v>42523</v>
      </c>
      <c r="AU167" s="14">
        <v>14.574999999999999</v>
      </c>
      <c r="AV167" s="22">
        <f t="shared" ref="AV167:AX167" si="105">AV166</f>
        <v>15.422000000000001</v>
      </c>
      <c r="AW167" s="22">
        <f t="shared" si="105"/>
        <v>19.766840000000002</v>
      </c>
      <c r="AX167" s="22">
        <f t="shared" si="105"/>
        <v>11.077160000000001</v>
      </c>
      <c r="AY167">
        <f t="shared" si="52"/>
        <v>18.318560000000002</v>
      </c>
      <c r="AZ167">
        <f t="shared" si="53"/>
        <v>16.870280000000001</v>
      </c>
      <c r="BA167">
        <f t="shared" si="54"/>
        <v>13.97372</v>
      </c>
      <c r="BB167">
        <f t="shared" si="55"/>
        <v>12.52544</v>
      </c>
      <c r="BD167" s="2">
        <v>4.0000000000000018</v>
      </c>
      <c r="BE167" s="14">
        <f t="shared" ref="BE167:BG167" si="106">BE166</f>
        <v>5.96</v>
      </c>
      <c r="BF167" s="14">
        <f t="shared" si="106"/>
        <v>13.588799999999999</v>
      </c>
      <c r="BG167" s="14">
        <f t="shared" si="106"/>
        <v>0</v>
      </c>
      <c r="BH167">
        <f t="shared" si="57"/>
        <v>11.045866666666665</v>
      </c>
      <c r="BI167">
        <f t="shared" si="58"/>
        <v>8.502933333333333</v>
      </c>
      <c r="BJ167">
        <f t="shared" si="76"/>
        <v>3.9733333333333336</v>
      </c>
      <c r="BK167">
        <f t="shared" si="60"/>
        <v>1.9866666666666668</v>
      </c>
    </row>
    <row r="168" spans="8:63" x14ac:dyDescent="0.15">
      <c r="H168" s="26">
        <v>42524</v>
      </c>
      <c r="I168">
        <v>15.8375</v>
      </c>
      <c r="J168" s="22">
        <f t="shared" si="61"/>
        <v>15.2775</v>
      </c>
      <c r="K168" s="22">
        <f t="shared" si="62"/>
        <v>17.658732000000001</v>
      </c>
      <c r="L168" s="22">
        <f t="shared" si="63"/>
        <v>12.896267999999999</v>
      </c>
      <c r="M168">
        <f t="shared" si="32"/>
        <v>16.864988</v>
      </c>
      <c r="N168">
        <f t="shared" si="33"/>
        <v>16.071244</v>
      </c>
      <c r="O168">
        <f t="shared" si="34"/>
        <v>14.483756</v>
      </c>
      <c r="P168">
        <f t="shared" si="35"/>
        <v>13.690011999999999</v>
      </c>
      <c r="R168">
        <v>7.1999999999999993</v>
      </c>
      <c r="S168" s="14">
        <f t="shared" si="64"/>
        <v>6.3840000000000012</v>
      </c>
      <c r="T168" s="14">
        <f t="shared" si="65"/>
        <v>11.899776000000003</v>
      </c>
      <c r="U168" s="14">
        <f t="shared" si="66"/>
        <v>0.86822400000000022</v>
      </c>
      <c r="V168">
        <f t="shared" si="37"/>
        <v>10.061184000000003</v>
      </c>
      <c r="W168">
        <f t="shared" si="38"/>
        <v>8.2225920000000023</v>
      </c>
      <c r="X168">
        <f t="shared" si="39"/>
        <v>4.545408000000001</v>
      </c>
      <c r="Y168">
        <f t="shared" si="40"/>
        <v>2.7068160000000008</v>
      </c>
      <c r="AA168" s="26">
        <v>42524</v>
      </c>
      <c r="AB168" s="14">
        <v>13.85</v>
      </c>
      <c r="AC168" s="22">
        <f t="shared" si="103"/>
        <v>15.132999999999999</v>
      </c>
      <c r="AD168" s="22">
        <f t="shared" si="103"/>
        <v>16.582252</v>
      </c>
      <c r="AE168" s="22">
        <f t="shared" si="103"/>
        <v>13.683748</v>
      </c>
      <c r="AF168">
        <f t="shared" si="42"/>
        <v>16.099167999999999</v>
      </c>
      <c r="AG168">
        <f t="shared" si="43"/>
        <v>15.616083999999999</v>
      </c>
      <c r="AH168">
        <f t="shared" si="44"/>
        <v>14.649915999999999</v>
      </c>
      <c r="AI168">
        <f t="shared" si="45"/>
        <v>14.166831999999999</v>
      </c>
      <c r="AK168">
        <v>0.90000000000000036</v>
      </c>
      <c r="AL168" s="14">
        <f t="shared" si="104"/>
        <v>1.9880000000000002</v>
      </c>
      <c r="AM168" s="14">
        <f t="shared" si="104"/>
        <v>4.5326399999999998</v>
      </c>
      <c r="AN168" s="14">
        <f t="shared" si="104"/>
        <v>0</v>
      </c>
      <c r="AO168">
        <f t="shared" si="47"/>
        <v>3.6844266666666661</v>
      </c>
      <c r="AP168">
        <f t="shared" si="48"/>
        <v>2.8362133333333333</v>
      </c>
      <c r="AQ168">
        <f t="shared" si="73"/>
        <v>1.3253333333333335</v>
      </c>
      <c r="AR168">
        <f t="shared" si="50"/>
        <v>0.66266666666666674</v>
      </c>
      <c r="AT168" s="26">
        <v>42524</v>
      </c>
      <c r="AU168" s="14">
        <v>17.824999999999999</v>
      </c>
      <c r="AV168" s="22">
        <f t="shared" ref="AV168:AX168" si="107">AV167</f>
        <v>15.422000000000001</v>
      </c>
      <c r="AW168" s="22">
        <f t="shared" si="107"/>
        <v>19.766840000000002</v>
      </c>
      <c r="AX168" s="22">
        <f t="shared" si="107"/>
        <v>11.077160000000001</v>
      </c>
      <c r="AY168">
        <f t="shared" si="52"/>
        <v>18.318560000000002</v>
      </c>
      <c r="AZ168">
        <f t="shared" si="53"/>
        <v>16.870280000000001</v>
      </c>
      <c r="BA168">
        <f t="shared" si="54"/>
        <v>13.97372</v>
      </c>
      <c r="BB168">
        <f t="shared" si="55"/>
        <v>12.52544</v>
      </c>
      <c r="BD168" s="2">
        <v>5.8999999999999986</v>
      </c>
      <c r="BE168" s="14">
        <f t="shared" ref="BE168:BG168" si="108">BE167</f>
        <v>5.96</v>
      </c>
      <c r="BF168" s="14">
        <f t="shared" si="108"/>
        <v>13.588799999999999</v>
      </c>
      <c r="BG168" s="14">
        <f t="shared" si="108"/>
        <v>0</v>
      </c>
      <c r="BH168">
        <f t="shared" si="57"/>
        <v>11.045866666666665</v>
      </c>
      <c r="BI168">
        <f t="shared" si="58"/>
        <v>8.502933333333333</v>
      </c>
      <c r="BJ168">
        <f t="shared" si="76"/>
        <v>3.9733333333333336</v>
      </c>
      <c r="BK168">
        <f t="shared" si="60"/>
        <v>1.9866666666666668</v>
      </c>
    </row>
    <row r="169" spans="8:63" x14ac:dyDescent="0.15">
      <c r="H169" s="26">
        <v>42527</v>
      </c>
      <c r="I169">
        <v>14.425000000000001</v>
      </c>
      <c r="J169" s="22">
        <f t="shared" si="61"/>
        <v>15.2775</v>
      </c>
      <c r="K169" s="22">
        <f t="shared" si="62"/>
        <v>17.658732000000001</v>
      </c>
      <c r="L169" s="22">
        <f t="shared" si="63"/>
        <v>12.896267999999999</v>
      </c>
      <c r="M169">
        <f t="shared" si="32"/>
        <v>16.864988</v>
      </c>
      <c r="N169">
        <f t="shared" si="33"/>
        <v>16.071244</v>
      </c>
      <c r="O169">
        <f t="shared" si="34"/>
        <v>14.483756</v>
      </c>
      <c r="P169">
        <f t="shared" si="35"/>
        <v>13.690011999999999</v>
      </c>
      <c r="R169">
        <v>7</v>
      </c>
      <c r="S169" s="14">
        <f t="shared" si="64"/>
        <v>6.3840000000000012</v>
      </c>
      <c r="T169" s="14">
        <f t="shared" si="65"/>
        <v>11.899776000000003</v>
      </c>
      <c r="U169" s="14">
        <f t="shared" si="66"/>
        <v>0.86822400000000022</v>
      </c>
      <c r="V169">
        <f t="shared" si="37"/>
        <v>10.061184000000003</v>
      </c>
      <c r="W169">
        <f t="shared" si="38"/>
        <v>8.2225920000000023</v>
      </c>
      <c r="X169">
        <f t="shared" si="39"/>
        <v>4.545408000000001</v>
      </c>
      <c r="Y169">
        <f t="shared" si="40"/>
        <v>2.7068160000000008</v>
      </c>
      <c r="AA169" s="26">
        <v>42527</v>
      </c>
      <c r="AB169" s="14">
        <v>13.625</v>
      </c>
      <c r="AC169" s="22">
        <f t="shared" si="103"/>
        <v>15.132999999999999</v>
      </c>
      <c r="AD169" s="22">
        <f t="shared" si="103"/>
        <v>16.582252</v>
      </c>
      <c r="AE169" s="22">
        <f t="shared" si="103"/>
        <v>13.683748</v>
      </c>
      <c r="AF169">
        <f t="shared" si="42"/>
        <v>16.099167999999999</v>
      </c>
      <c r="AG169">
        <f t="shared" si="43"/>
        <v>15.616083999999999</v>
      </c>
      <c r="AH169">
        <f t="shared" si="44"/>
        <v>14.649915999999999</v>
      </c>
      <c r="AI169">
        <f t="shared" si="45"/>
        <v>14.166831999999999</v>
      </c>
      <c r="AK169">
        <v>1.9000000000000004</v>
      </c>
      <c r="AL169" s="14">
        <f t="shared" si="104"/>
        <v>1.9880000000000002</v>
      </c>
      <c r="AM169" s="14">
        <f t="shared" si="104"/>
        <v>4.5326399999999998</v>
      </c>
      <c r="AN169" s="14">
        <f t="shared" si="104"/>
        <v>0</v>
      </c>
      <c r="AO169">
        <f t="shared" si="47"/>
        <v>3.6844266666666661</v>
      </c>
      <c r="AP169">
        <f t="shared" si="48"/>
        <v>2.8362133333333333</v>
      </c>
      <c r="AQ169">
        <f t="shared" si="73"/>
        <v>1.3253333333333335</v>
      </c>
      <c r="AR169">
        <f t="shared" si="50"/>
        <v>0.66266666666666674</v>
      </c>
      <c r="AT169" s="26">
        <v>42527</v>
      </c>
      <c r="AU169" s="14">
        <v>15.225</v>
      </c>
      <c r="AV169" s="22">
        <f t="shared" ref="AV169:AX169" si="109">AV168</f>
        <v>15.422000000000001</v>
      </c>
      <c r="AW169" s="22">
        <f t="shared" si="109"/>
        <v>19.766840000000002</v>
      </c>
      <c r="AX169" s="22">
        <f t="shared" si="109"/>
        <v>11.077160000000001</v>
      </c>
      <c r="AY169">
        <f t="shared" si="52"/>
        <v>18.318560000000002</v>
      </c>
      <c r="AZ169">
        <f t="shared" si="53"/>
        <v>16.870280000000001</v>
      </c>
      <c r="BA169">
        <f t="shared" si="54"/>
        <v>13.97372</v>
      </c>
      <c r="BB169">
        <f t="shared" si="55"/>
        <v>12.52544</v>
      </c>
      <c r="BD169" s="2">
        <v>7</v>
      </c>
      <c r="BE169" s="14">
        <f t="shared" ref="BE169:BG169" si="110">BE168</f>
        <v>5.96</v>
      </c>
      <c r="BF169" s="14">
        <f t="shared" si="110"/>
        <v>13.588799999999999</v>
      </c>
      <c r="BG169" s="14">
        <f t="shared" si="110"/>
        <v>0</v>
      </c>
      <c r="BH169">
        <f t="shared" si="57"/>
        <v>11.045866666666665</v>
      </c>
      <c r="BI169">
        <f t="shared" si="58"/>
        <v>8.502933333333333</v>
      </c>
      <c r="BJ169">
        <f t="shared" si="76"/>
        <v>3.9733333333333336</v>
      </c>
      <c r="BK169">
        <f t="shared" si="60"/>
        <v>1.9866666666666668</v>
      </c>
    </row>
    <row r="170" spans="8:63" x14ac:dyDescent="0.15">
      <c r="H170" s="26">
        <v>42528</v>
      </c>
      <c r="I170">
        <v>14.55</v>
      </c>
      <c r="J170" s="22">
        <f t="shared" si="61"/>
        <v>15.2775</v>
      </c>
      <c r="K170" s="22">
        <f t="shared" si="62"/>
        <v>17.658732000000001</v>
      </c>
      <c r="L170" s="22">
        <f t="shared" si="63"/>
        <v>12.896267999999999</v>
      </c>
      <c r="M170">
        <f t="shared" si="32"/>
        <v>16.864988</v>
      </c>
      <c r="N170">
        <f t="shared" si="33"/>
        <v>16.071244</v>
      </c>
      <c r="O170">
        <f t="shared" si="34"/>
        <v>14.483756</v>
      </c>
      <c r="P170">
        <f t="shared" si="35"/>
        <v>13.690011999999999</v>
      </c>
      <c r="R170">
        <v>12.200000000000001</v>
      </c>
      <c r="S170" s="14">
        <f t="shared" si="64"/>
        <v>6.3840000000000012</v>
      </c>
      <c r="T170" s="14">
        <f t="shared" si="65"/>
        <v>11.899776000000003</v>
      </c>
      <c r="U170" s="14">
        <f t="shared" si="66"/>
        <v>0.86822400000000022</v>
      </c>
      <c r="V170">
        <f t="shared" si="37"/>
        <v>10.061184000000003</v>
      </c>
      <c r="W170">
        <f t="shared" si="38"/>
        <v>8.2225920000000023</v>
      </c>
      <c r="X170">
        <f t="shared" si="39"/>
        <v>4.545408000000001</v>
      </c>
      <c r="Y170">
        <f t="shared" si="40"/>
        <v>2.7068160000000008</v>
      </c>
      <c r="AA170" s="26">
        <v>42528</v>
      </c>
      <c r="AB170" s="14">
        <v>13.25</v>
      </c>
      <c r="AC170" s="22">
        <f t="shared" si="103"/>
        <v>15.132999999999999</v>
      </c>
      <c r="AD170" s="22">
        <f t="shared" si="103"/>
        <v>16.582252</v>
      </c>
      <c r="AE170" s="22">
        <f t="shared" si="103"/>
        <v>13.683748</v>
      </c>
      <c r="AF170">
        <f t="shared" si="42"/>
        <v>16.099167999999999</v>
      </c>
      <c r="AG170">
        <f t="shared" si="43"/>
        <v>15.616083999999999</v>
      </c>
      <c r="AH170">
        <f t="shared" si="44"/>
        <v>14.649915999999999</v>
      </c>
      <c r="AI170">
        <f t="shared" si="45"/>
        <v>14.166831999999999</v>
      </c>
      <c r="AK170">
        <v>1.5</v>
      </c>
      <c r="AL170" s="14">
        <f t="shared" si="104"/>
        <v>1.9880000000000002</v>
      </c>
      <c r="AM170" s="14">
        <f t="shared" si="104"/>
        <v>4.5326399999999998</v>
      </c>
      <c r="AN170" s="14">
        <f t="shared" si="104"/>
        <v>0</v>
      </c>
      <c r="AO170">
        <f t="shared" si="47"/>
        <v>3.6844266666666661</v>
      </c>
      <c r="AP170">
        <f t="shared" si="48"/>
        <v>2.8362133333333333</v>
      </c>
      <c r="AQ170">
        <f t="shared" si="73"/>
        <v>1.3253333333333335</v>
      </c>
      <c r="AR170">
        <f t="shared" si="50"/>
        <v>0.66266666666666674</v>
      </c>
      <c r="AT170" s="26">
        <v>42528</v>
      </c>
      <c r="AU170" s="14">
        <v>15.850000000000001</v>
      </c>
      <c r="AV170" s="22">
        <f t="shared" ref="AV170:AX170" si="111">AV169</f>
        <v>15.422000000000001</v>
      </c>
      <c r="AW170" s="22">
        <f t="shared" si="111"/>
        <v>19.766840000000002</v>
      </c>
      <c r="AX170" s="22">
        <f t="shared" si="111"/>
        <v>11.077160000000001</v>
      </c>
      <c r="AY170">
        <f t="shared" si="52"/>
        <v>18.318560000000002</v>
      </c>
      <c r="AZ170">
        <f t="shared" si="53"/>
        <v>16.870280000000001</v>
      </c>
      <c r="BA170">
        <f t="shared" si="54"/>
        <v>13.97372</v>
      </c>
      <c r="BB170">
        <f t="shared" si="55"/>
        <v>12.52544</v>
      </c>
      <c r="BD170" s="2">
        <v>12.200000000000001</v>
      </c>
      <c r="BE170" s="14">
        <f t="shared" ref="BE170:BG170" si="112">BE169</f>
        <v>5.96</v>
      </c>
      <c r="BF170" s="14">
        <f t="shared" si="112"/>
        <v>13.588799999999999</v>
      </c>
      <c r="BG170" s="14">
        <f t="shared" si="112"/>
        <v>0</v>
      </c>
      <c r="BH170">
        <f t="shared" si="57"/>
        <v>11.045866666666665</v>
      </c>
      <c r="BI170">
        <f t="shared" si="58"/>
        <v>8.502933333333333</v>
      </c>
      <c r="BJ170">
        <f t="shared" si="76"/>
        <v>3.9733333333333336</v>
      </c>
      <c r="BK170">
        <f t="shared" si="60"/>
        <v>1.9866666666666668</v>
      </c>
    </row>
    <row r="171" spans="8:63" x14ac:dyDescent="0.15">
      <c r="H171" s="26">
        <v>42529</v>
      </c>
      <c r="I171">
        <v>12.925000000000001</v>
      </c>
      <c r="J171" s="22">
        <f t="shared" si="61"/>
        <v>15.2775</v>
      </c>
      <c r="K171" s="22">
        <f t="shared" si="62"/>
        <v>17.658732000000001</v>
      </c>
      <c r="L171" s="22">
        <f t="shared" si="63"/>
        <v>12.896267999999999</v>
      </c>
      <c r="M171">
        <f t="shared" si="32"/>
        <v>16.864988</v>
      </c>
      <c r="N171">
        <f t="shared" si="33"/>
        <v>16.071244</v>
      </c>
      <c r="O171">
        <f t="shared" si="34"/>
        <v>14.483756</v>
      </c>
      <c r="P171">
        <f t="shared" si="35"/>
        <v>13.690011999999999</v>
      </c>
      <c r="R171">
        <v>5.9</v>
      </c>
      <c r="S171" s="14">
        <f t="shared" si="64"/>
        <v>6.3840000000000012</v>
      </c>
      <c r="T171" s="14">
        <f t="shared" si="65"/>
        <v>11.899776000000003</v>
      </c>
      <c r="U171" s="14">
        <f t="shared" si="66"/>
        <v>0.86822400000000022</v>
      </c>
      <c r="V171">
        <f t="shared" si="37"/>
        <v>10.061184000000003</v>
      </c>
      <c r="W171">
        <f t="shared" si="38"/>
        <v>8.2225920000000023</v>
      </c>
      <c r="X171">
        <f t="shared" si="39"/>
        <v>4.545408000000001</v>
      </c>
      <c r="Y171">
        <f t="shared" si="40"/>
        <v>2.7068160000000008</v>
      </c>
      <c r="AA171" s="26">
        <v>42529</v>
      </c>
      <c r="AB171" s="14">
        <v>13.6</v>
      </c>
      <c r="AC171" s="22">
        <f t="shared" si="103"/>
        <v>15.132999999999999</v>
      </c>
      <c r="AD171" s="22">
        <f t="shared" si="103"/>
        <v>16.582252</v>
      </c>
      <c r="AE171" s="22">
        <f t="shared" si="103"/>
        <v>13.683748</v>
      </c>
      <c r="AF171">
        <f t="shared" si="42"/>
        <v>16.099167999999999</v>
      </c>
      <c r="AG171">
        <f t="shared" si="43"/>
        <v>15.616083999999999</v>
      </c>
      <c r="AH171">
        <f t="shared" si="44"/>
        <v>14.649915999999999</v>
      </c>
      <c r="AI171">
        <f t="shared" si="45"/>
        <v>14.166831999999999</v>
      </c>
      <c r="AK171">
        <v>3.0999999999999996</v>
      </c>
      <c r="AL171" s="14">
        <f t="shared" si="104"/>
        <v>1.9880000000000002</v>
      </c>
      <c r="AM171" s="14">
        <f t="shared" si="104"/>
        <v>4.5326399999999998</v>
      </c>
      <c r="AN171" s="14">
        <f t="shared" si="104"/>
        <v>0</v>
      </c>
      <c r="AO171">
        <f t="shared" si="47"/>
        <v>3.6844266666666661</v>
      </c>
      <c r="AP171">
        <f t="shared" si="48"/>
        <v>2.8362133333333333</v>
      </c>
      <c r="AQ171">
        <f t="shared" si="73"/>
        <v>1.3253333333333335</v>
      </c>
      <c r="AR171">
        <f t="shared" si="50"/>
        <v>0.66266666666666674</v>
      </c>
      <c r="AT171" s="26">
        <v>42529</v>
      </c>
      <c r="AU171" s="14">
        <v>12.25</v>
      </c>
      <c r="AV171" s="22">
        <f t="shared" ref="AV171:AX171" si="113">AV170</f>
        <v>15.422000000000001</v>
      </c>
      <c r="AW171" s="22">
        <f t="shared" si="113"/>
        <v>19.766840000000002</v>
      </c>
      <c r="AX171" s="22">
        <f t="shared" si="113"/>
        <v>11.077160000000001</v>
      </c>
      <c r="AY171">
        <f t="shared" si="52"/>
        <v>18.318560000000002</v>
      </c>
      <c r="AZ171">
        <f t="shared" si="53"/>
        <v>16.870280000000001</v>
      </c>
      <c r="BA171">
        <f t="shared" si="54"/>
        <v>13.97372</v>
      </c>
      <c r="BB171">
        <f t="shared" si="55"/>
        <v>12.52544</v>
      </c>
      <c r="BD171" s="2">
        <v>5.5</v>
      </c>
      <c r="BE171" s="14">
        <f t="shared" ref="BE171:BG171" si="114">BE170</f>
        <v>5.96</v>
      </c>
      <c r="BF171" s="14">
        <f t="shared" si="114"/>
        <v>13.588799999999999</v>
      </c>
      <c r="BG171" s="14">
        <f t="shared" si="114"/>
        <v>0</v>
      </c>
      <c r="BH171">
        <f t="shared" si="57"/>
        <v>11.045866666666665</v>
      </c>
      <c r="BI171">
        <f t="shared" si="58"/>
        <v>8.502933333333333</v>
      </c>
      <c r="BJ171">
        <f t="shared" si="76"/>
        <v>3.9733333333333336</v>
      </c>
      <c r="BK171">
        <f t="shared" si="60"/>
        <v>1.9866666666666668</v>
      </c>
    </row>
    <row r="172" spans="8:63" x14ac:dyDescent="0.15">
      <c r="H172" s="26">
        <v>42530</v>
      </c>
      <c r="I172" s="14">
        <v>13.699999999999998</v>
      </c>
      <c r="J172" s="22">
        <f t="shared" si="61"/>
        <v>15.2775</v>
      </c>
      <c r="K172" s="22">
        <f t="shared" si="62"/>
        <v>17.658732000000001</v>
      </c>
      <c r="L172" s="22">
        <f t="shared" si="63"/>
        <v>12.896267999999999</v>
      </c>
      <c r="M172">
        <f t="shared" si="32"/>
        <v>16.864988</v>
      </c>
      <c r="N172">
        <f t="shared" si="33"/>
        <v>16.071244</v>
      </c>
      <c r="O172">
        <f t="shared" si="34"/>
        <v>14.483756</v>
      </c>
      <c r="P172">
        <f t="shared" si="35"/>
        <v>13.690011999999999</v>
      </c>
      <c r="R172">
        <v>10.299999999999999</v>
      </c>
      <c r="S172" s="14">
        <f t="shared" si="64"/>
        <v>6.3840000000000012</v>
      </c>
      <c r="T172" s="14">
        <f t="shared" si="65"/>
        <v>11.899776000000003</v>
      </c>
      <c r="U172" s="14">
        <f t="shared" si="66"/>
        <v>0.86822400000000022</v>
      </c>
      <c r="V172">
        <f t="shared" si="37"/>
        <v>10.061184000000003</v>
      </c>
      <c r="W172">
        <f t="shared" si="38"/>
        <v>8.2225920000000023</v>
      </c>
      <c r="X172">
        <f t="shared" si="39"/>
        <v>4.545408000000001</v>
      </c>
      <c r="Y172">
        <f t="shared" si="40"/>
        <v>2.7068160000000008</v>
      </c>
      <c r="AA172" s="26">
        <v>42530</v>
      </c>
      <c r="AB172" s="14">
        <v>13.074999999999999</v>
      </c>
      <c r="AC172" s="22">
        <f t="shared" si="103"/>
        <v>15.132999999999999</v>
      </c>
      <c r="AD172" s="22">
        <f t="shared" si="103"/>
        <v>16.582252</v>
      </c>
      <c r="AE172" s="22">
        <f t="shared" si="103"/>
        <v>13.683748</v>
      </c>
      <c r="AF172">
        <f t="shared" si="42"/>
        <v>16.099167999999999</v>
      </c>
      <c r="AG172">
        <f t="shared" si="43"/>
        <v>15.616083999999999</v>
      </c>
      <c r="AH172">
        <f t="shared" si="44"/>
        <v>14.649915999999999</v>
      </c>
      <c r="AI172">
        <f t="shared" si="45"/>
        <v>14.166831999999999</v>
      </c>
      <c r="AK172">
        <v>3.1000000000000014</v>
      </c>
      <c r="AL172" s="14">
        <f t="shared" si="104"/>
        <v>1.9880000000000002</v>
      </c>
      <c r="AM172" s="14">
        <f t="shared" si="104"/>
        <v>4.5326399999999998</v>
      </c>
      <c r="AN172" s="14">
        <f t="shared" si="104"/>
        <v>0</v>
      </c>
      <c r="AO172">
        <f t="shared" si="47"/>
        <v>3.6844266666666661</v>
      </c>
      <c r="AP172">
        <f t="shared" si="48"/>
        <v>2.8362133333333333</v>
      </c>
      <c r="AQ172">
        <f t="shared" si="73"/>
        <v>1.3253333333333335</v>
      </c>
      <c r="AR172">
        <f t="shared" si="50"/>
        <v>0.66266666666666674</v>
      </c>
      <c r="AT172" s="26">
        <v>42530</v>
      </c>
      <c r="AU172" s="14">
        <v>14.324999999999999</v>
      </c>
      <c r="AV172" s="22">
        <f t="shared" ref="AV172:AX172" si="115">AV171</f>
        <v>15.422000000000001</v>
      </c>
      <c r="AW172" s="22">
        <f t="shared" si="115"/>
        <v>19.766840000000002</v>
      </c>
      <c r="AX172" s="22">
        <f t="shared" si="115"/>
        <v>11.077160000000001</v>
      </c>
      <c r="AY172">
        <f t="shared" si="52"/>
        <v>18.318560000000002</v>
      </c>
      <c r="AZ172">
        <f t="shared" si="53"/>
        <v>16.870280000000001</v>
      </c>
      <c r="BA172">
        <f t="shared" si="54"/>
        <v>13.97372</v>
      </c>
      <c r="BB172">
        <f t="shared" si="55"/>
        <v>12.52544</v>
      </c>
      <c r="BD172" s="2">
        <v>10.299999999999999</v>
      </c>
      <c r="BE172" s="14">
        <f t="shared" ref="BE172:BG172" si="116">BE171</f>
        <v>5.96</v>
      </c>
      <c r="BF172" s="14">
        <f t="shared" si="116"/>
        <v>13.588799999999999</v>
      </c>
      <c r="BG172" s="14">
        <f t="shared" si="116"/>
        <v>0</v>
      </c>
      <c r="BH172">
        <f t="shared" si="57"/>
        <v>11.045866666666665</v>
      </c>
      <c r="BI172">
        <f t="shared" si="58"/>
        <v>8.502933333333333</v>
      </c>
      <c r="BJ172">
        <f t="shared" si="76"/>
        <v>3.9733333333333336</v>
      </c>
      <c r="BK172">
        <f t="shared" si="60"/>
        <v>1.9866666666666668</v>
      </c>
    </row>
    <row r="173" spans="8:63" x14ac:dyDescent="0.15">
      <c r="H173" s="26">
        <v>42531</v>
      </c>
      <c r="I173">
        <v>14.337500000000002</v>
      </c>
      <c r="J173" s="22">
        <f t="shared" si="61"/>
        <v>15.2775</v>
      </c>
      <c r="K173" s="22">
        <f t="shared" si="62"/>
        <v>17.658732000000001</v>
      </c>
      <c r="L173" s="22">
        <f t="shared" si="63"/>
        <v>12.896267999999999</v>
      </c>
      <c r="M173">
        <f t="shared" si="32"/>
        <v>16.864988</v>
      </c>
      <c r="N173">
        <f t="shared" si="33"/>
        <v>16.071244</v>
      </c>
      <c r="O173">
        <f t="shared" si="34"/>
        <v>14.483756</v>
      </c>
      <c r="P173">
        <f t="shared" si="35"/>
        <v>13.690011999999999</v>
      </c>
      <c r="R173">
        <v>4.6999999999999993</v>
      </c>
      <c r="S173" s="14">
        <f t="shared" si="64"/>
        <v>6.3840000000000012</v>
      </c>
      <c r="T173" s="14">
        <f t="shared" si="65"/>
        <v>11.899776000000003</v>
      </c>
      <c r="U173" s="14">
        <f t="shared" si="66"/>
        <v>0.86822400000000022</v>
      </c>
      <c r="V173">
        <f t="shared" si="37"/>
        <v>10.061184000000003</v>
      </c>
      <c r="W173">
        <f t="shared" si="38"/>
        <v>8.2225920000000023</v>
      </c>
      <c r="X173">
        <f t="shared" si="39"/>
        <v>4.545408000000001</v>
      </c>
      <c r="Y173">
        <f t="shared" si="40"/>
        <v>2.7068160000000008</v>
      </c>
      <c r="AA173" s="26">
        <v>42531</v>
      </c>
      <c r="AB173" s="14">
        <v>12.95</v>
      </c>
      <c r="AC173" s="22">
        <f t="shared" si="103"/>
        <v>15.132999999999999</v>
      </c>
      <c r="AD173" s="22">
        <f t="shared" si="103"/>
        <v>16.582252</v>
      </c>
      <c r="AE173" s="22">
        <f t="shared" si="103"/>
        <v>13.683748</v>
      </c>
      <c r="AF173">
        <f t="shared" si="42"/>
        <v>16.099167999999999</v>
      </c>
      <c r="AG173">
        <f t="shared" si="43"/>
        <v>15.616083999999999</v>
      </c>
      <c r="AH173">
        <f t="shared" si="44"/>
        <v>14.649915999999999</v>
      </c>
      <c r="AI173">
        <f t="shared" si="45"/>
        <v>14.166831999999999</v>
      </c>
      <c r="AK173">
        <v>2</v>
      </c>
      <c r="AL173" s="14">
        <f t="shared" si="104"/>
        <v>1.9880000000000002</v>
      </c>
      <c r="AM173" s="14">
        <f t="shared" si="104"/>
        <v>4.5326399999999998</v>
      </c>
      <c r="AN173" s="14">
        <f t="shared" si="104"/>
        <v>0</v>
      </c>
      <c r="AO173">
        <f t="shared" si="47"/>
        <v>3.6844266666666661</v>
      </c>
      <c r="AP173">
        <f t="shared" si="48"/>
        <v>2.8362133333333333</v>
      </c>
      <c r="AQ173">
        <f t="shared" si="73"/>
        <v>1.3253333333333335</v>
      </c>
      <c r="AR173">
        <f t="shared" si="50"/>
        <v>0.66266666666666674</v>
      </c>
      <c r="AT173" s="26">
        <v>42531</v>
      </c>
      <c r="AU173" s="14">
        <v>15.725</v>
      </c>
      <c r="AV173" s="22">
        <f t="shared" ref="AV173:AX173" si="117">AV172</f>
        <v>15.422000000000001</v>
      </c>
      <c r="AW173" s="22">
        <f t="shared" si="117"/>
        <v>19.766840000000002</v>
      </c>
      <c r="AX173" s="22">
        <f t="shared" si="117"/>
        <v>11.077160000000001</v>
      </c>
      <c r="AY173">
        <f t="shared" si="52"/>
        <v>18.318560000000002</v>
      </c>
      <c r="AZ173">
        <f t="shared" si="53"/>
        <v>16.870280000000001</v>
      </c>
      <c r="BA173">
        <f t="shared" si="54"/>
        <v>13.97372</v>
      </c>
      <c r="BB173">
        <f t="shared" si="55"/>
        <v>12.52544</v>
      </c>
      <c r="BD173" s="2">
        <v>1.9999999999999982</v>
      </c>
      <c r="BE173" s="14">
        <f t="shared" ref="BE173:BG173" si="118">BE172</f>
        <v>5.96</v>
      </c>
      <c r="BF173" s="14">
        <f t="shared" si="118"/>
        <v>13.588799999999999</v>
      </c>
      <c r="BG173" s="14">
        <f t="shared" si="118"/>
        <v>0</v>
      </c>
      <c r="BH173">
        <f t="shared" si="57"/>
        <v>11.045866666666665</v>
      </c>
      <c r="BI173">
        <f t="shared" si="58"/>
        <v>8.502933333333333</v>
      </c>
      <c r="BJ173">
        <f t="shared" si="76"/>
        <v>3.9733333333333336</v>
      </c>
      <c r="BK173">
        <f t="shared" si="60"/>
        <v>1.9866666666666668</v>
      </c>
    </row>
  </sheetData>
  <mergeCells count="40">
    <mergeCell ref="C115:F115"/>
    <mergeCell ref="G115:J115"/>
    <mergeCell ref="A82:A85"/>
    <mergeCell ref="B82:B83"/>
    <mergeCell ref="B84:B85"/>
    <mergeCell ref="A86:A89"/>
    <mergeCell ref="B86:B87"/>
    <mergeCell ref="B88:B89"/>
    <mergeCell ref="A98:A101"/>
    <mergeCell ref="B98:B99"/>
    <mergeCell ref="B100:B101"/>
    <mergeCell ref="A90:A93"/>
    <mergeCell ref="B90:B91"/>
    <mergeCell ref="B92:B93"/>
    <mergeCell ref="A94:A97"/>
    <mergeCell ref="B94:B95"/>
    <mergeCell ref="C32:F32"/>
    <mergeCell ref="G32:J32"/>
    <mergeCell ref="A70:A73"/>
    <mergeCell ref="B70:B71"/>
    <mergeCell ref="B72:B73"/>
    <mergeCell ref="B66:B67"/>
    <mergeCell ref="B68:B69"/>
    <mergeCell ref="D60:E60"/>
    <mergeCell ref="B62:B63"/>
    <mergeCell ref="B64:B65"/>
    <mergeCell ref="A62:A65"/>
    <mergeCell ref="A66:A69"/>
    <mergeCell ref="B96:B97"/>
    <mergeCell ref="A78:A81"/>
    <mergeCell ref="B78:B79"/>
    <mergeCell ref="B80:B81"/>
    <mergeCell ref="A74:A77"/>
    <mergeCell ref="B74:B75"/>
    <mergeCell ref="B76:B77"/>
    <mergeCell ref="K114:L114"/>
    <mergeCell ref="M114:N114"/>
    <mergeCell ref="O114:P114"/>
    <mergeCell ref="AA147:AR147"/>
    <mergeCell ref="AT147:BK147"/>
  </mergeCells>
  <phoneticPr fontId="3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表3.1　銅メッキ膜厚の測定データ</vt:lpstr>
      <vt:lpstr>表3.2　3段枝分れ実験によってサンプリングされた膜厚データ等</vt:lpstr>
    </vt:vector>
  </TitlesOfParts>
  <Company>Tokyo University of Science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Yasui Seiichi</dc:creator>
  <cp:lastModifiedBy>田中 延志</cp:lastModifiedBy>
  <dcterms:created xsi:type="dcterms:W3CDTF">2016-07-15T01:39:56Z</dcterms:created>
  <dcterms:modified xsi:type="dcterms:W3CDTF">2017-11-27T00:09:08Z</dcterms:modified>
</cp:coreProperties>
</file>